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2685" windowWidth="15120" windowHeight="8010" activeTab="0"/>
  </bookViews>
  <sheets>
    <sheet name="jednotlivci" sheetId="1" r:id="rId1"/>
  </sheets>
  <definedNames/>
  <calcPr fullCalcOnLoad="1"/>
</workbook>
</file>

<file path=xl/sharedStrings.xml><?xml version="1.0" encoding="utf-8"?>
<sst xmlns="http://schemas.openxmlformats.org/spreadsheetml/2006/main" count="969" uniqueCount="358">
  <si>
    <t>Bielenisko</t>
  </si>
  <si>
    <t>Krebs Martin</t>
  </si>
  <si>
    <t>Krebs Jakub</t>
  </si>
  <si>
    <t>Gravina Patricio</t>
  </si>
  <si>
    <t>Krajčovič Peter</t>
  </si>
  <si>
    <t>Dográcia Samuel</t>
  </si>
  <si>
    <t>Dográcia Andrej</t>
  </si>
  <si>
    <t>Slezák Martin</t>
  </si>
  <si>
    <t>Válek Lukáš</t>
  </si>
  <si>
    <t>Baka Martin</t>
  </si>
  <si>
    <t>Belianska Sarah</t>
  </si>
  <si>
    <t>Pribiš Miroslav</t>
  </si>
  <si>
    <t>Uherčík Samuel</t>
  </si>
  <si>
    <t>Bernátová Michaela</t>
  </si>
  <si>
    <t>Okruhlica Oliver</t>
  </si>
  <si>
    <t>Nagy Tomáš</t>
  </si>
  <si>
    <t>Strempek Jakub</t>
  </si>
  <si>
    <t>Rudavský Adam</t>
  </si>
  <si>
    <t>Dugovič Miloš</t>
  </si>
  <si>
    <t>Košický Eduard</t>
  </si>
  <si>
    <t>Uherko Jakub</t>
  </si>
  <si>
    <t>Sklenár Matúš</t>
  </si>
  <si>
    <t>Širjov Jakub</t>
  </si>
  <si>
    <t>Radoský Martin</t>
  </si>
  <si>
    <t>Kvak Václav</t>
  </si>
  <si>
    <t>Kollár Karol</t>
  </si>
  <si>
    <t>Krasňanský Tomáš</t>
  </si>
  <si>
    <t>Svetlák Patrik</t>
  </si>
  <si>
    <t>Sandtner Lukáš</t>
  </si>
  <si>
    <t>Kočnár Jakub</t>
  </si>
  <si>
    <t>jednotlivci</t>
  </si>
  <si>
    <t>Pikulík Roman</t>
  </si>
  <si>
    <t>Cichý Peter</t>
  </si>
  <si>
    <t>Hacker Michal</t>
  </si>
  <si>
    <t>Hvíla Roman</t>
  </si>
  <si>
    <t>Kica Daniel</t>
  </si>
  <si>
    <t>Federl Kristián</t>
  </si>
  <si>
    <t>Pessl Martin</t>
  </si>
  <si>
    <t xml:space="preserve">Kolenčík Mário </t>
  </si>
  <si>
    <t>Sulejman Michael</t>
  </si>
  <si>
    <t>Slovák Natan</t>
  </si>
  <si>
    <t>Komadová Radka</t>
  </si>
  <si>
    <t>Limbach</t>
  </si>
  <si>
    <t>Diviš Matej</t>
  </si>
  <si>
    <t>Hlavatovič Ondrej</t>
  </si>
  <si>
    <t>Čapucha Karol</t>
  </si>
  <si>
    <t>Farbula Adrián</t>
  </si>
  <si>
    <t>Naňo Martin</t>
  </si>
  <si>
    <t>Šterbela Matúš</t>
  </si>
  <si>
    <t>Divišová Hanka</t>
  </si>
  <si>
    <t>Fornerová Sára</t>
  </si>
  <si>
    <t>Škvarková Kristína</t>
  </si>
  <si>
    <t>Forner René</t>
  </si>
  <si>
    <t>Vaculčiaková Lea</t>
  </si>
  <si>
    <t>Viničné</t>
  </si>
  <si>
    <t>Fándlyho</t>
  </si>
  <si>
    <t>Žigo Martin</t>
  </si>
  <si>
    <t>Farkaš Marek</t>
  </si>
  <si>
    <t>Janušík Juraj</t>
  </si>
  <si>
    <t>Janušík Ján</t>
  </si>
  <si>
    <t>Foriš Dominik</t>
  </si>
  <si>
    <t>Bereník Adam</t>
  </si>
  <si>
    <t>Nejedlík Andrej</t>
  </si>
  <si>
    <t>Čík Eduard</t>
  </si>
  <si>
    <t>Velich Tomáš</t>
  </si>
  <si>
    <t>Hanúsek Kevin</t>
  </si>
  <si>
    <t>Jančovič Lukáš</t>
  </si>
  <si>
    <t>Domin Vladislav</t>
  </si>
  <si>
    <t>Cviková Valentína</t>
  </si>
  <si>
    <t>Jalovecká Alexandra</t>
  </si>
  <si>
    <t>Hagarová Natália</t>
  </si>
  <si>
    <t>Reháková Nicol</t>
  </si>
  <si>
    <t>Čapuchová Alexandra</t>
  </si>
  <si>
    <t>Nagyová Veronika</t>
  </si>
  <si>
    <t>Ifčicová Adela</t>
  </si>
  <si>
    <t>Kanková Martina</t>
  </si>
  <si>
    <t>Vašeková Jana</t>
  </si>
  <si>
    <t>Kormanová Karin</t>
  </si>
  <si>
    <t>Toráčová Michaela</t>
  </si>
  <si>
    <t>Grolichová Kristína</t>
  </si>
  <si>
    <t>Siegel Dávid</t>
  </si>
  <si>
    <t>Ilka Július</t>
  </si>
  <si>
    <t>Knap Vlater</t>
  </si>
  <si>
    <t>Deters Martin</t>
  </si>
  <si>
    <t>Konečný Martin</t>
  </si>
  <si>
    <t>Bednárik Marek</t>
  </si>
  <si>
    <t>Štefek Adam</t>
  </si>
  <si>
    <t>Kupeckého</t>
  </si>
  <si>
    <t>Bajla Lukáš</t>
  </si>
  <si>
    <t>Palkovič Samuel</t>
  </si>
  <si>
    <t>Malý Maroš</t>
  </si>
  <si>
    <t>Jedlička Matúš</t>
  </si>
  <si>
    <t>Lacko Samuel</t>
  </si>
  <si>
    <t>Féder Marek</t>
  </si>
  <si>
    <t>Daniš Dominik</t>
  </si>
  <si>
    <t>Klamo Mário</t>
  </si>
  <si>
    <t>Odkladal Filip</t>
  </si>
  <si>
    <t>Maršo Martin</t>
  </si>
  <si>
    <t>Letzová Magdaléna</t>
  </si>
  <si>
    <t>Sabolová Terézia</t>
  </si>
  <si>
    <t>Kaderábeková Natália</t>
  </si>
  <si>
    <t>Kaderábeková Veronika</t>
  </si>
  <si>
    <t>Navrátilová Zuzana</t>
  </si>
  <si>
    <t>Trochtová Mária</t>
  </si>
  <si>
    <t>Zubrová Michaela</t>
  </si>
  <si>
    <t>Herdová Viera</t>
  </si>
  <si>
    <t>Nogová Martina</t>
  </si>
  <si>
    <t>Galvánková Nikola</t>
  </si>
  <si>
    <t>Kevedžová Katarína</t>
  </si>
  <si>
    <t>Klúčiková Martina</t>
  </si>
  <si>
    <t>Švarc Patrik</t>
  </si>
  <si>
    <t>Bagin Adam</t>
  </si>
  <si>
    <t>Šagát Martin</t>
  </si>
  <si>
    <t>Murárik Marcel</t>
  </si>
  <si>
    <t>Gajdúšek Róbert</t>
  </si>
  <si>
    <t>Jalovecký Marek</t>
  </si>
  <si>
    <t>Sejč Dušan</t>
  </si>
  <si>
    <t>Vavro Adam</t>
  </si>
  <si>
    <t>Vavrová Laura</t>
  </si>
  <si>
    <t>Čech Tomáš</t>
  </si>
  <si>
    <t>Blunárová Viktória</t>
  </si>
  <si>
    <t>Hanúsek Andrej</t>
  </si>
  <si>
    <t>Kovačič Matej</t>
  </si>
  <si>
    <t>Noskovičová Viktória</t>
  </si>
  <si>
    <t>Ifčic Tomáš</t>
  </si>
  <si>
    <t>Pingyak Ján Martin</t>
  </si>
  <si>
    <t>Gymnázium</t>
  </si>
  <si>
    <t>Brat Adam</t>
  </si>
  <si>
    <t>Kostrian Matúš</t>
  </si>
  <si>
    <t>Bulava Dávid</t>
  </si>
  <si>
    <t>Gaba Dávid</t>
  </si>
  <si>
    <t>Hrašna Marek</t>
  </si>
  <si>
    <t>Marton Matej</t>
  </si>
  <si>
    <t>Šimo Jozef</t>
  </si>
  <si>
    <t>Belková Petra</t>
  </si>
  <si>
    <t>Finková Lucia</t>
  </si>
  <si>
    <t>Cinová Katarína</t>
  </si>
  <si>
    <t>Zaťko Martin</t>
  </si>
  <si>
    <t>Hámor Lukáš</t>
  </si>
  <si>
    <t>Šikula Marek</t>
  </si>
  <si>
    <t>Mikolášková Martina</t>
  </si>
  <si>
    <t>Janečková Alexandra</t>
  </si>
  <si>
    <t>škola</t>
  </si>
  <si>
    <t>Mladší žiaci</t>
  </si>
  <si>
    <t>Mladšie žiačky</t>
  </si>
  <si>
    <t>Orešie</t>
  </si>
  <si>
    <t>Habšuda Peter</t>
  </si>
  <si>
    <t>Debrecký Martin</t>
  </si>
  <si>
    <t>Šmahovský Jakub</t>
  </si>
  <si>
    <t>Mlynek Michal</t>
  </si>
  <si>
    <t>Rašla Lukáš</t>
  </si>
  <si>
    <t>Stríž Richard</t>
  </si>
  <si>
    <t>Pleško Jakub</t>
  </si>
  <si>
    <t>Olešanský Tibor</t>
  </si>
  <si>
    <t>Hlavatovič Róbert</t>
  </si>
  <si>
    <t>Mrózek Miroslav</t>
  </si>
  <si>
    <t>Forner Richard</t>
  </si>
  <si>
    <t>Federl Peter</t>
  </si>
  <si>
    <t>Vojtek Ľubomír</t>
  </si>
  <si>
    <t>Šuba Peter</t>
  </si>
  <si>
    <t>Juran Jakub</t>
  </si>
  <si>
    <t>Plško Juraj</t>
  </si>
  <si>
    <t>Habšuda Adam</t>
  </si>
  <si>
    <t>Krpelanová Martina</t>
  </si>
  <si>
    <t>Rebríčky k</t>
  </si>
  <si>
    <t>Starší žiaci a dorastenci</t>
  </si>
  <si>
    <t xml:space="preserve">bodová </t>
  </si>
  <si>
    <t>Získané body</t>
  </si>
  <si>
    <t>body</t>
  </si>
  <si>
    <t>hodnota hráča</t>
  </si>
  <si>
    <t>bodovacie turnaje</t>
  </si>
  <si>
    <t>v jednotlivých hracích týždňoch ligy</t>
  </si>
  <si>
    <t>Body</t>
  </si>
  <si>
    <t>por</t>
  </si>
  <si>
    <t>celkom</t>
  </si>
  <si>
    <t>nar.</t>
  </si>
  <si>
    <t>1.BT</t>
  </si>
  <si>
    <t>2.BT</t>
  </si>
  <si>
    <t>3.BT</t>
  </si>
  <si>
    <t>TOP16</t>
  </si>
  <si>
    <t>spolu</t>
  </si>
  <si>
    <t>Najmladšie žiactvo</t>
  </si>
  <si>
    <t>Staršie žiačky</t>
  </si>
  <si>
    <t>Priezvisko, meno</t>
  </si>
  <si>
    <t xml:space="preserve">body </t>
  </si>
  <si>
    <t xml:space="preserve">len </t>
  </si>
  <si>
    <t>za dr</t>
  </si>
  <si>
    <t>Priezvisko, Meno</t>
  </si>
  <si>
    <t>Klub</t>
  </si>
  <si>
    <t>Rebríček</t>
  </si>
  <si>
    <t>Bodovanie:</t>
  </si>
  <si>
    <t>3-4</t>
  </si>
  <si>
    <t>65</t>
  </si>
  <si>
    <t>5-8</t>
  </si>
  <si>
    <t>50</t>
  </si>
  <si>
    <t>9-16</t>
  </si>
  <si>
    <t>32</t>
  </si>
  <si>
    <t>17-32</t>
  </si>
  <si>
    <t>20</t>
  </si>
  <si>
    <t>33-48</t>
  </si>
  <si>
    <t>16</t>
  </si>
  <si>
    <t>49-64</t>
  </si>
  <si>
    <t>14</t>
  </si>
  <si>
    <t>Böhm Samuel</t>
  </si>
  <si>
    <t>Alexy Ján</t>
  </si>
  <si>
    <t>Šimončič Martin</t>
  </si>
  <si>
    <t>Slovenský Grob</t>
  </si>
  <si>
    <t>Cungel Lukáš</t>
  </si>
  <si>
    <t>Libič Kristián</t>
  </si>
  <si>
    <t>Dugovič Samuel</t>
  </si>
  <si>
    <t>Škríp Matej</t>
  </si>
  <si>
    <t>Trochta Daniel</t>
  </si>
  <si>
    <t>Zelenay Šimon</t>
  </si>
  <si>
    <t>Brunovský Peter</t>
  </si>
  <si>
    <t>Petrovič Michal</t>
  </si>
  <si>
    <t>Cibula Ondrej</t>
  </si>
  <si>
    <t>Kovalovský Ľuboš</t>
  </si>
  <si>
    <t>Lomjaský Adam</t>
  </si>
  <si>
    <t>Citerský Jakub</t>
  </si>
  <si>
    <t>Németh Tomáš</t>
  </si>
  <si>
    <t>Feder Marek</t>
  </si>
  <si>
    <t>Číž Adam</t>
  </si>
  <si>
    <t>Bőhm Samuel</t>
  </si>
  <si>
    <t>Okládal Filip</t>
  </si>
  <si>
    <t>Púpava Matej</t>
  </si>
  <si>
    <t>Ižo Martin</t>
  </si>
  <si>
    <t>Klačanský Martin</t>
  </si>
  <si>
    <t>Královič Jakub</t>
  </si>
  <si>
    <t>Kubáň Adam</t>
  </si>
  <si>
    <t>Benčurik Michal</t>
  </si>
  <si>
    <t>Horváth Ondrej</t>
  </si>
  <si>
    <t>Korček Jakub</t>
  </si>
  <si>
    <t>Kolenčík Marian</t>
  </si>
  <si>
    <t>Berec Daniel</t>
  </si>
  <si>
    <t>Honzík Filip</t>
  </si>
  <si>
    <t>Strnisko Kristián</t>
  </si>
  <si>
    <t>Hubinský Dominik</t>
  </si>
  <si>
    <t>Lovič Michal</t>
  </si>
  <si>
    <t>Mlynek Eduard</t>
  </si>
  <si>
    <t>Useky Adam</t>
  </si>
  <si>
    <t>Oravec Michal</t>
  </si>
  <si>
    <t>Gašparovič Lukáš</t>
  </si>
  <si>
    <t>Nejedlík Jakub</t>
  </si>
  <si>
    <t>Sloboda Jakub</t>
  </si>
  <si>
    <t>Šmýkala Michal</t>
  </si>
  <si>
    <t xml:space="preserve"> </t>
  </si>
  <si>
    <t>Priezvisko Meno</t>
  </si>
  <si>
    <t>Jakubec Dávid</t>
  </si>
  <si>
    <t>Pištek Patrik</t>
  </si>
  <si>
    <t>Chvostek Matej</t>
  </si>
  <si>
    <t>Navara Dominik</t>
  </si>
  <si>
    <t>Kuchta Patrik</t>
  </si>
  <si>
    <t>Kubáň Peter</t>
  </si>
  <si>
    <t>Pazdernatý Matúš</t>
  </si>
  <si>
    <t>Hacker Michael</t>
  </si>
  <si>
    <t>Bohúň Patrik</t>
  </si>
  <si>
    <t>Gašparovič Štefan</t>
  </si>
  <si>
    <t>Janušik Juraj</t>
  </si>
  <si>
    <t>Pessl Matin</t>
  </si>
  <si>
    <t>Polák Juraj</t>
  </si>
  <si>
    <t>Macinský Alexander</t>
  </si>
  <si>
    <t>Gašparovič Samuel</t>
  </si>
  <si>
    <t>Slezák Michal</t>
  </si>
  <si>
    <t>Verníček Viliam</t>
  </si>
  <si>
    <t>Vitek Daniel</t>
  </si>
  <si>
    <t>Juran  Jakub</t>
  </si>
  <si>
    <t>Belianska  Sarah</t>
  </si>
  <si>
    <t>Šimončič Pavol</t>
  </si>
  <si>
    <t>Rybár Tomáš</t>
  </si>
  <si>
    <t>Kapusta Jerguš</t>
  </si>
  <si>
    <t>Babík Benjamín</t>
  </si>
  <si>
    <t>Netkov Christian</t>
  </si>
  <si>
    <t>Uherčík  Samuel</t>
  </si>
  <si>
    <t>Synak Ján</t>
  </si>
  <si>
    <t>Šajty  Filip</t>
  </si>
  <si>
    <t>Čierny Tomáš</t>
  </si>
  <si>
    <t>Janušek Ján</t>
  </si>
  <si>
    <t>Jirku Katarína</t>
  </si>
  <si>
    <t>Trochtová Martina</t>
  </si>
  <si>
    <t>Novák Peter</t>
  </si>
  <si>
    <t>Gašparovič Tomáš</t>
  </si>
  <si>
    <t>Reháková Nikol</t>
  </si>
  <si>
    <t>Mocko Denis</t>
  </si>
  <si>
    <t>Chrkavý Oliver</t>
  </si>
  <si>
    <t>Mackovčin Viliam</t>
  </si>
  <si>
    <t>Štrba Martin</t>
  </si>
  <si>
    <t>Čambal Samuel</t>
  </si>
  <si>
    <t>Bednáriková Jana</t>
  </si>
  <si>
    <t>Benčúriková Patrícia</t>
  </si>
  <si>
    <t>Gašparičová Dominika</t>
  </si>
  <si>
    <t>Noga Martin</t>
  </si>
  <si>
    <t>Demovič  Matúš</t>
  </si>
  <si>
    <t>Puchý Ľudovít</t>
  </si>
  <si>
    <t>Bottan Marek</t>
  </si>
  <si>
    <t>Cibulková Zuzana</t>
  </si>
  <si>
    <t>Fekete  Dominik</t>
  </si>
  <si>
    <t>Ferková Lenka</t>
  </si>
  <si>
    <t>Fischerová Simona</t>
  </si>
  <si>
    <t>Klepsatelová Lucia</t>
  </si>
  <si>
    <t>Knap Valter</t>
  </si>
  <si>
    <t>Ligyak Daniel</t>
  </si>
  <si>
    <t>Šarmír Samuel</t>
  </si>
  <si>
    <t>Šteberla Matúš</t>
  </si>
  <si>
    <t>Švábek Dávid</t>
  </si>
  <si>
    <t>Untermayerová Laura</t>
  </si>
  <si>
    <t>Zápražný Samuel</t>
  </si>
  <si>
    <t>Krupanová Adriana</t>
  </si>
  <si>
    <t>Noskovičová Nikola</t>
  </si>
  <si>
    <t>Nidelová Martina</t>
  </si>
  <si>
    <t>Slimáková Michaela</t>
  </si>
  <si>
    <t>Silná Diana</t>
  </si>
  <si>
    <t>Furičková Štefánia</t>
  </si>
  <si>
    <t>Gajdošová Dominika</t>
  </si>
  <si>
    <t>Čapkovičová Soňa</t>
  </si>
  <si>
    <t>Smetanová Katarína</t>
  </si>
  <si>
    <t>Cisárová Adriana</t>
  </si>
  <si>
    <t>Vojteková Kristína</t>
  </si>
  <si>
    <t>Slezáková Klára</t>
  </si>
  <si>
    <t>Hodáková Hana</t>
  </si>
  <si>
    <t>Bőhmová Denisa</t>
  </si>
  <si>
    <t>Benčúriková Daniela</t>
  </si>
  <si>
    <t>Krajňáková Patrícia</t>
  </si>
  <si>
    <t>Kráľovičová Alena</t>
  </si>
  <si>
    <t>Minarovičová Barbora</t>
  </si>
  <si>
    <t>Reháková Kristína</t>
  </si>
  <si>
    <t>Gajdošová Romana</t>
  </si>
  <si>
    <t>Ďurišová Magdaléna</t>
  </si>
  <si>
    <t>Beláčková Petra</t>
  </si>
  <si>
    <t>Kopáčiková Petra</t>
  </si>
  <si>
    <t>Ondrejkovičová Simona</t>
  </si>
  <si>
    <t>Petrovičová Dominika</t>
  </si>
  <si>
    <t>Rezetka Marek</t>
  </si>
  <si>
    <t>SOŠ Komenského</t>
  </si>
  <si>
    <t>Lančarič Lukáš</t>
  </si>
  <si>
    <t>Vlčko Martin</t>
  </si>
  <si>
    <t>Sokolík Marek</t>
  </si>
  <si>
    <t>Križan Róbert</t>
  </si>
  <si>
    <t>Svätý Jur</t>
  </si>
  <si>
    <t>Štefanovič Matúš</t>
  </si>
  <si>
    <t>Vencel Michal</t>
  </si>
  <si>
    <t>Belovič Jozef</t>
  </si>
  <si>
    <t>Šajty Filip</t>
  </si>
  <si>
    <t>Lukáčik Martin</t>
  </si>
  <si>
    <t>Metke Michal</t>
  </si>
  <si>
    <t>Badinský Tomáš</t>
  </si>
  <si>
    <t>Světlíková Sofia</t>
  </si>
  <si>
    <t>Krpelánová Martina</t>
  </si>
  <si>
    <t>Psotová Kristína</t>
  </si>
  <si>
    <t xml:space="preserve">Fándlyho </t>
  </si>
  <si>
    <t>Geršicová Kristína</t>
  </si>
  <si>
    <t>Korner Lukáš</t>
  </si>
  <si>
    <t>Nečas Denis</t>
  </si>
  <si>
    <t>Grell Matej</t>
  </si>
  <si>
    <t>Raček Tomáš</t>
  </si>
  <si>
    <t>nehodnotený, svojvoľný odchod z turnaja</t>
  </si>
  <si>
    <t>Kováčová Zuzana</t>
  </si>
  <si>
    <t>Rýdza Martina</t>
  </si>
  <si>
    <t>Gravina Patrizio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</si>
</sst>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/m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4" fontId="5" fillId="0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horizontal="left"/>
    </xf>
    <xf numFmtId="0" fontId="13" fillId="0" borderId="19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14" fontId="10" fillId="0" borderId="23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center"/>
    </xf>
    <xf numFmtId="14" fontId="14" fillId="0" borderId="16" xfId="0" applyNumberFormat="1" applyFont="1" applyFill="1" applyBorder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4" fontId="15" fillId="0" borderId="11" xfId="0" applyNumberFormat="1" applyFont="1" applyFill="1" applyBorder="1" applyAlignment="1">
      <alignment horizontal="right"/>
    </xf>
    <xf numFmtId="0" fontId="15" fillId="0" borderId="31" xfId="0" applyFont="1" applyFill="1" applyBorder="1" applyAlignment="1">
      <alignment/>
    </xf>
    <xf numFmtId="0" fontId="6" fillId="0" borderId="2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4" fontId="15" fillId="0" borderId="10" xfId="0" applyNumberFormat="1" applyFont="1" applyFill="1" applyBorder="1" applyAlignment="1">
      <alignment horizontal="right"/>
    </xf>
    <xf numFmtId="0" fontId="15" fillId="0" borderId="36" xfId="0" applyFont="1" applyFill="1" applyBorder="1" applyAlignment="1">
      <alignment/>
    </xf>
    <xf numFmtId="0" fontId="6" fillId="0" borderId="34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6" fillId="0" borderId="35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4" fontId="12" fillId="0" borderId="1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right"/>
    </xf>
    <xf numFmtId="0" fontId="17" fillId="0" borderId="37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14" fontId="15" fillId="0" borderId="38" xfId="0" applyNumberFormat="1" applyFont="1" applyFill="1" applyBorder="1" applyAlignment="1">
      <alignment horizontal="right"/>
    </xf>
    <xf numFmtId="0" fontId="6" fillId="0" borderId="39" xfId="0" applyFont="1" applyFill="1" applyBorder="1" applyAlignment="1">
      <alignment/>
    </xf>
    <xf numFmtId="0" fontId="6" fillId="0" borderId="39" xfId="0" applyFont="1" applyFill="1" applyBorder="1" applyAlignment="1">
      <alignment horizontal="right"/>
    </xf>
    <xf numFmtId="0" fontId="6" fillId="0" borderId="4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0" fillId="0" borderId="44" xfId="0" applyFont="1" applyFill="1" applyBorder="1" applyAlignment="1">
      <alignment/>
    </xf>
    <xf numFmtId="0" fontId="10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14" fontId="15" fillId="0" borderId="47" xfId="0" applyNumberFormat="1" applyFont="1" applyFill="1" applyBorder="1" applyAlignment="1">
      <alignment horizontal="right"/>
    </xf>
    <xf numFmtId="0" fontId="15" fillId="0" borderId="48" xfId="0" applyFont="1" applyFill="1" applyBorder="1" applyAlignment="1">
      <alignment/>
    </xf>
    <xf numFmtId="0" fontId="6" fillId="0" borderId="45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8" fillId="0" borderId="0" xfId="0" applyFont="1" applyFill="1" applyBorder="1" applyAlignment="1">
      <alignment/>
    </xf>
    <xf numFmtId="14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13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0" fillId="0" borderId="50" xfId="0" applyFont="1" applyFill="1" applyBorder="1" applyAlignment="1">
      <alignment/>
    </xf>
    <xf numFmtId="14" fontId="10" fillId="0" borderId="26" xfId="0" applyNumberFormat="1" applyFont="1" applyFill="1" applyBorder="1" applyAlignment="1">
      <alignment horizontal="right"/>
    </xf>
    <xf numFmtId="0" fontId="10" fillId="0" borderId="27" xfId="0" applyFont="1" applyFill="1" applyBorder="1" applyAlignment="1">
      <alignment horizontal="center"/>
    </xf>
    <xf numFmtId="0" fontId="10" fillId="0" borderId="51" xfId="0" applyFont="1" applyFill="1" applyBorder="1" applyAlignment="1">
      <alignment/>
    </xf>
    <xf numFmtId="14" fontId="15" fillId="0" borderId="31" xfId="0" applyNumberFormat="1" applyFont="1" applyFill="1" applyBorder="1" applyAlignment="1">
      <alignment horizontal="right"/>
    </xf>
    <xf numFmtId="0" fontId="10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6" xfId="0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right"/>
    </xf>
    <xf numFmtId="0" fontId="0" fillId="0" borderId="54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10" fillId="0" borderId="55" xfId="0" applyFont="1" applyFill="1" applyBorder="1" applyAlignment="1">
      <alignment horizontal="center"/>
    </xf>
    <xf numFmtId="14" fontId="15" fillId="0" borderId="56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12" fillId="0" borderId="11" xfId="0" applyFont="1" applyFill="1" applyBorder="1" applyAlignment="1">
      <alignment/>
    </xf>
    <xf numFmtId="0" fontId="0" fillId="0" borderId="31" xfId="0" applyFill="1" applyBorder="1" applyAlignment="1">
      <alignment/>
    </xf>
    <xf numFmtId="0" fontId="10" fillId="0" borderId="34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10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10" fillId="0" borderId="45" xfId="0" applyFont="1" applyFill="1" applyBorder="1" applyAlignment="1">
      <alignment/>
    </xf>
    <xf numFmtId="0" fontId="15" fillId="0" borderId="56" xfId="0" applyFont="1" applyFill="1" applyBorder="1" applyAlignment="1">
      <alignment/>
    </xf>
    <xf numFmtId="0" fontId="6" fillId="0" borderId="47" xfId="0" applyFont="1" applyFill="1" applyBorder="1" applyAlignment="1">
      <alignment horizontal="right"/>
    </xf>
    <xf numFmtId="0" fontId="13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14" fontId="10" fillId="0" borderId="0" xfId="0" applyNumberFormat="1" applyFont="1" applyFill="1" applyAlignment="1">
      <alignment horizontal="right"/>
    </xf>
    <xf numFmtId="0" fontId="13" fillId="0" borderId="59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14" fontId="3" fillId="0" borderId="0" xfId="46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14" fontId="15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14" fontId="55" fillId="0" borderId="0" xfId="0" applyNumberFormat="1" applyFont="1" applyFill="1" applyAlignment="1">
      <alignment/>
    </xf>
    <xf numFmtId="0" fontId="6" fillId="33" borderId="35" xfId="0" applyFont="1" applyFill="1" applyBorder="1" applyAlignment="1">
      <alignment/>
    </xf>
    <xf numFmtId="14" fontId="15" fillId="33" borderId="10" xfId="0" applyNumberFormat="1" applyFont="1" applyFill="1" applyBorder="1" applyAlignment="1">
      <alignment horizontal="right"/>
    </xf>
    <xf numFmtId="0" fontId="15" fillId="33" borderId="36" xfId="0" applyFont="1" applyFill="1" applyBorder="1" applyAlignment="1">
      <alignment/>
    </xf>
    <xf numFmtId="0" fontId="16" fillId="0" borderId="42" xfId="0" applyFont="1" applyFill="1" applyBorder="1" applyAlignment="1">
      <alignment horizontal="center"/>
    </xf>
    <xf numFmtId="0" fontId="12" fillId="0" borderId="35" xfId="0" applyFont="1" applyFill="1" applyBorder="1" applyAlignment="1">
      <alignment/>
    </xf>
    <xf numFmtId="0" fontId="23" fillId="33" borderId="34" xfId="0" applyFont="1" applyFill="1" applyBorder="1" applyAlignment="1">
      <alignment horizontal="left"/>
    </xf>
    <xf numFmtId="0" fontId="6" fillId="33" borderId="35" xfId="0" applyFont="1" applyFill="1" applyBorder="1" applyAlignment="1">
      <alignment horizontal="left"/>
    </xf>
    <xf numFmtId="0" fontId="6" fillId="33" borderId="37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3" fillId="0" borderId="50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49" fontId="13" fillId="0" borderId="62" xfId="0" applyNumberFormat="1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63" xfId="0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0" fontId="13" fillId="0" borderId="25" xfId="0" applyFont="1" applyFill="1" applyBorder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_Rozpis zapasov celej sutaze" xfId="46"/>
    <cellStyle name="normální_TTzapis_1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20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4.57421875" style="143" customWidth="1"/>
    <col min="2" max="2" width="0.2890625" style="5" customWidth="1"/>
    <col min="3" max="3" width="12.140625" style="6" customWidth="1"/>
    <col min="4" max="4" width="29.421875" style="1" customWidth="1"/>
    <col min="5" max="5" width="13.28125" style="7" customWidth="1"/>
    <col min="6" max="6" width="20.00390625" style="8" customWidth="1"/>
    <col min="7" max="7" width="12.421875" style="9" customWidth="1"/>
    <col min="8" max="8" width="5.140625" style="144" customWidth="1"/>
    <col min="9" max="9" width="5.140625" style="11" customWidth="1"/>
    <col min="10" max="10" width="5.421875" style="144" customWidth="1"/>
    <col min="11" max="11" width="5.7109375" style="1" customWidth="1"/>
    <col min="12" max="12" width="3.28125" style="13" customWidth="1"/>
    <col min="13" max="35" width="2.7109375" style="13" customWidth="1"/>
    <col min="36" max="38" width="2.7109375" style="1" customWidth="1"/>
    <col min="39" max="39" width="5.7109375" style="1" customWidth="1"/>
    <col min="40" max="40" width="6.00390625" style="1" customWidth="1"/>
    <col min="41" max="41" width="7.421875" style="1" customWidth="1"/>
    <col min="42" max="42" width="2.7109375" style="1" customWidth="1"/>
    <col min="43" max="43" width="7.00390625" style="1" customWidth="1"/>
    <col min="44" max="44" width="34.7109375" style="215" customWidth="1"/>
    <col min="45" max="45" width="10.00390625" style="215" customWidth="1"/>
    <col min="46" max="46" width="14.57421875" style="215" customWidth="1"/>
    <col min="47" max="47" width="12.421875" style="0" customWidth="1"/>
    <col min="48" max="48" width="7.57421875" style="215" customWidth="1"/>
    <col min="49" max="49" width="11.28125" style="215" customWidth="1"/>
    <col min="52" max="52" width="6.140625" style="215" customWidth="1"/>
    <col min="53" max="53" width="4.7109375" style="215" customWidth="1"/>
    <col min="54" max="54" width="4.57421875" style="215" customWidth="1"/>
    <col min="55" max="55" width="4.7109375" style="215" customWidth="1"/>
    <col min="56" max="56" width="4.8515625" style="215" customWidth="1"/>
    <col min="57" max="57" width="4.57421875" style="215" customWidth="1"/>
    <col min="58" max="61" width="4.8515625" style="215" customWidth="1"/>
    <col min="62" max="62" width="7.28125" style="215" customWidth="1"/>
    <col min="63" max="63" width="9.140625" style="215" customWidth="1"/>
    <col min="64" max="68" width="9.140625" style="14" customWidth="1"/>
    <col min="69" max="69" width="33.57421875" style="14" customWidth="1"/>
    <col min="70" max="70" width="28.140625" style="14" customWidth="1"/>
    <col min="71" max="72" width="9.140625" style="14" customWidth="1"/>
    <col min="73" max="255" width="9.140625" style="1" customWidth="1"/>
    <col min="256" max="16384" width="3.7109375" style="1" customWidth="1"/>
  </cols>
  <sheetData>
    <row r="1" spans="1:41" ht="21.75" thickBot="1">
      <c r="A1" s="4" t="s">
        <v>164</v>
      </c>
      <c r="D1" s="222">
        <v>40534</v>
      </c>
      <c r="H1" s="10"/>
      <c r="J1" s="10"/>
      <c r="L1" s="12"/>
      <c r="AO1" s="1">
        <v>0.2</v>
      </c>
    </row>
    <row r="2" spans="1:49" ht="18.75" thickBot="1">
      <c r="A2" s="15" t="s">
        <v>165</v>
      </c>
      <c r="B2" s="16"/>
      <c r="C2" s="17"/>
      <c r="D2" s="18"/>
      <c r="E2" s="19"/>
      <c r="F2" s="20"/>
      <c r="G2" s="21"/>
      <c r="H2" s="22"/>
      <c r="I2" s="23"/>
      <c r="J2" s="24"/>
      <c r="L2" s="25"/>
      <c r="AR2" s="216"/>
      <c r="AS2" s="27"/>
      <c r="AT2" s="216"/>
      <c r="AW2" s="216"/>
    </row>
    <row r="3" spans="1:64" ht="18.75" thickBot="1">
      <c r="A3" s="29"/>
      <c r="B3" s="27"/>
      <c r="C3" s="30"/>
      <c r="D3" s="26"/>
      <c r="E3" s="31"/>
      <c r="F3" s="32"/>
      <c r="G3" s="33" t="s">
        <v>166</v>
      </c>
      <c r="H3" s="34"/>
      <c r="I3" s="35"/>
      <c r="J3" s="36"/>
      <c r="K3" s="34"/>
      <c r="L3" s="232" t="s">
        <v>167</v>
      </c>
      <c r="M3" s="233"/>
      <c r="N3" s="233"/>
      <c r="O3" s="233"/>
      <c r="P3" s="233"/>
      <c r="Q3" s="233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5"/>
      <c r="AO3" s="1" t="s">
        <v>184</v>
      </c>
      <c r="AR3" s="216"/>
      <c r="AS3" s="216"/>
      <c r="AT3" s="216"/>
      <c r="AV3" s="44"/>
      <c r="AW3" s="32"/>
      <c r="AZ3" s="34"/>
      <c r="BA3" s="34"/>
      <c r="BB3" s="213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1:65" ht="15.75" thickBot="1">
      <c r="A4" s="38"/>
      <c r="B4" s="236" t="s">
        <v>168</v>
      </c>
      <c r="C4" s="237"/>
      <c r="D4" s="39"/>
      <c r="E4" s="40"/>
      <c r="F4" s="32"/>
      <c r="G4" s="41" t="s">
        <v>169</v>
      </c>
      <c r="H4" s="247" t="s">
        <v>170</v>
      </c>
      <c r="I4" s="239"/>
      <c r="J4" s="240"/>
      <c r="K4" s="42"/>
      <c r="L4" s="241" t="s">
        <v>171</v>
      </c>
      <c r="M4" s="242"/>
      <c r="N4" s="242"/>
      <c r="O4" s="242"/>
      <c r="P4" s="242"/>
      <c r="Q4" s="242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4"/>
      <c r="AN4" s="43" t="s">
        <v>172</v>
      </c>
      <c r="AO4" s="37" t="s">
        <v>185</v>
      </c>
      <c r="AP4" s="37"/>
      <c r="AQ4" s="37"/>
      <c r="AR4" s="214"/>
      <c r="AS4" s="214"/>
      <c r="AT4" s="214"/>
      <c r="AV4" s="44"/>
      <c r="AW4" s="32"/>
      <c r="AZ4" s="214"/>
      <c r="BA4" s="214"/>
      <c r="BB4" s="60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</row>
    <row r="5" spans="1:65" ht="18.75" thickBot="1">
      <c r="A5" s="45" t="s">
        <v>173</v>
      </c>
      <c r="B5" s="46" t="s">
        <v>174</v>
      </c>
      <c r="C5" s="47" t="s">
        <v>30</v>
      </c>
      <c r="D5" s="48" t="s">
        <v>183</v>
      </c>
      <c r="E5" s="49" t="s">
        <v>175</v>
      </c>
      <c r="F5" s="50" t="s">
        <v>142</v>
      </c>
      <c r="G5" s="51"/>
      <c r="H5" s="52" t="s">
        <v>176</v>
      </c>
      <c r="I5" s="53" t="s">
        <v>177</v>
      </c>
      <c r="J5" s="54" t="s">
        <v>178</v>
      </c>
      <c r="K5" s="55" t="s">
        <v>179</v>
      </c>
      <c r="L5" s="56">
        <v>1</v>
      </c>
      <c r="M5" s="57">
        <v>2</v>
      </c>
      <c r="N5" s="57">
        <f aca="true" t="shared" si="0" ref="N5:AL5">M5+1</f>
        <v>3</v>
      </c>
      <c r="O5" s="57">
        <f t="shared" si="0"/>
        <v>4</v>
      </c>
      <c r="P5" s="57">
        <f t="shared" si="0"/>
        <v>5</v>
      </c>
      <c r="Q5" s="57">
        <f t="shared" si="0"/>
        <v>6</v>
      </c>
      <c r="R5" s="57">
        <f t="shared" si="0"/>
        <v>7</v>
      </c>
      <c r="S5" s="57">
        <f t="shared" si="0"/>
        <v>8</v>
      </c>
      <c r="T5" s="57">
        <f t="shared" si="0"/>
        <v>9</v>
      </c>
      <c r="U5" s="57">
        <f t="shared" si="0"/>
        <v>10</v>
      </c>
      <c r="V5" s="57">
        <f t="shared" si="0"/>
        <v>11</v>
      </c>
      <c r="W5" s="57">
        <f t="shared" si="0"/>
        <v>12</v>
      </c>
      <c r="X5" s="57">
        <f t="shared" si="0"/>
        <v>13</v>
      </c>
      <c r="Y5" s="57">
        <f t="shared" si="0"/>
        <v>14</v>
      </c>
      <c r="Z5" s="57">
        <f t="shared" si="0"/>
        <v>15</v>
      </c>
      <c r="AA5" s="57">
        <f t="shared" si="0"/>
        <v>16</v>
      </c>
      <c r="AB5" s="57">
        <f t="shared" si="0"/>
        <v>17</v>
      </c>
      <c r="AC5" s="57">
        <f t="shared" si="0"/>
        <v>18</v>
      </c>
      <c r="AD5" s="57">
        <f t="shared" si="0"/>
        <v>19</v>
      </c>
      <c r="AE5" s="57">
        <f t="shared" si="0"/>
        <v>20</v>
      </c>
      <c r="AF5" s="57">
        <f t="shared" si="0"/>
        <v>21</v>
      </c>
      <c r="AG5" s="57">
        <f t="shared" si="0"/>
        <v>22</v>
      </c>
      <c r="AH5" s="57">
        <f t="shared" si="0"/>
        <v>23</v>
      </c>
      <c r="AI5" s="57">
        <f t="shared" si="0"/>
        <v>24</v>
      </c>
      <c r="AJ5" s="57">
        <f t="shared" si="0"/>
        <v>25</v>
      </c>
      <c r="AK5" s="57">
        <f t="shared" si="0"/>
        <v>26</v>
      </c>
      <c r="AL5" s="57">
        <f t="shared" si="0"/>
        <v>27</v>
      </c>
      <c r="AM5" s="58" t="s">
        <v>179</v>
      </c>
      <c r="AN5" s="59" t="s">
        <v>180</v>
      </c>
      <c r="AO5" s="37" t="s">
        <v>186</v>
      </c>
      <c r="AP5" s="37"/>
      <c r="AQ5" s="37"/>
      <c r="AR5" s="217" t="s">
        <v>187</v>
      </c>
      <c r="AS5" s="217" t="s">
        <v>175</v>
      </c>
      <c r="AT5" s="217" t="s">
        <v>188</v>
      </c>
      <c r="AU5" s="218" t="s">
        <v>189</v>
      </c>
      <c r="AV5" s="60"/>
      <c r="AZ5" s="37"/>
      <c r="BF5" s="37"/>
      <c r="BG5" s="37"/>
      <c r="BH5" s="37"/>
      <c r="BI5" s="37"/>
      <c r="BJ5" s="37"/>
      <c r="BK5" s="37"/>
      <c r="BL5" s="37"/>
      <c r="BM5" s="37"/>
    </row>
    <row r="6" spans="1:66" ht="15.75">
      <c r="A6" s="61">
        <v>1</v>
      </c>
      <c r="B6" s="62">
        <f aca="true" t="shared" si="1" ref="B6:B77">AN6</f>
        <v>446</v>
      </c>
      <c r="C6" s="63">
        <f aca="true" t="shared" si="2" ref="C6:C37">H6+I6+J6+AM6+AO6*$AO$1</f>
        <v>446</v>
      </c>
      <c r="D6" s="64" t="s">
        <v>139</v>
      </c>
      <c r="E6" s="66">
        <v>34214</v>
      </c>
      <c r="F6" s="67" t="s">
        <v>126</v>
      </c>
      <c r="G6" s="68">
        <v>65</v>
      </c>
      <c r="H6" s="64">
        <v>65</v>
      </c>
      <c r="I6" s="69">
        <f>100+65+50+80+32+20+20+14</f>
        <v>381</v>
      </c>
      <c r="J6" s="70"/>
      <c r="K6" s="71"/>
      <c r="L6" s="72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4"/>
      <c r="AK6" s="74"/>
      <c r="AL6" s="74"/>
      <c r="AM6" s="75"/>
      <c r="AN6" s="76">
        <f aca="true" t="shared" si="3" ref="AN6:AN37">SUM(H6:AM6)</f>
        <v>446</v>
      </c>
      <c r="AO6" s="28">
        <f aca="true" t="shared" si="4" ref="AO6:AO37">SUM(L6:AL6)</f>
        <v>0</v>
      </c>
      <c r="AP6" s="28"/>
      <c r="AQ6" s="28">
        <f>C6</f>
        <v>446</v>
      </c>
      <c r="AR6" s="215" t="str">
        <f>D6</f>
        <v>Šikula Marek</v>
      </c>
      <c r="AS6" s="215">
        <f aca="true" t="shared" si="5" ref="AS6:AS85">YEAR(AW6)</f>
        <v>1993</v>
      </c>
      <c r="AT6" s="215" t="str">
        <f aca="true" t="shared" si="6" ref="AT6:AT85">F6</f>
        <v>Gymnázium</v>
      </c>
      <c r="AU6">
        <f>A6</f>
        <v>1</v>
      </c>
      <c r="AV6" s="78"/>
      <c r="AW6" s="77">
        <f aca="true" t="shared" si="7" ref="AW6:AW85">E6</f>
        <v>34214</v>
      </c>
      <c r="AZ6" s="78"/>
      <c r="BA6" s="28"/>
      <c r="BB6" s="28"/>
      <c r="BC6" s="28"/>
      <c r="BD6" s="28"/>
      <c r="BE6" s="28"/>
      <c r="BF6" s="78"/>
      <c r="BG6" s="28"/>
      <c r="BH6" s="28"/>
      <c r="BI6" s="28"/>
      <c r="BJ6" s="28"/>
      <c r="BK6" s="28"/>
      <c r="BL6" s="77" t="s">
        <v>190</v>
      </c>
      <c r="BM6" s="28"/>
      <c r="BN6" s="78"/>
    </row>
    <row r="7" spans="1:73" ht="15.75">
      <c r="A7" s="79">
        <f aca="true" t="shared" si="8" ref="A7:A77">A6+1</f>
        <v>2</v>
      </c>
      <c r="B7" s="80">
        <f t="shared" si="1"/>
        <v>322</v>
      </c>
      <c r="C7" s="81">
        <f t="shared" si="2"/>
        <v>322</v>
      </c>
      <c r="D7" s="82" t="s">
        <v>331</v>
      </c>
      <c r="E7" s="84">
        <v>34869</v>
      </c>
      <c r="F7" s="85" t="s">
        <v>332</v>
      </c>
      <c r="G7" s="86">
        <v>65</v>
      </c>
      <c r="H7" s="82">
        <v>65</v>
      </c>
      <c r="I7" s="87">
        <f>80+50+50+32+15+16+14</f>
        <v>257</v>
      </c>
      <c r="J7" s="88"/>
      <c r="K7" s="89"/>
      <c r="L7" s="90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2"/>
      <c r="AF7" s="91"/>
      <c r="AG7" s="92"/>
      <c r="AH7" s="92"/>
      <c r="AI7" s="92"/>
      <c r="AJ7" s="93"/>
      <c r="AK7" s="93"/>
      <c r="AL7" s="93"/>
      <c r="AM7" s="94"/>
      <c r="AN7" s="95">
        <f t="shared" si="3"/>
        <v>322</v>
      </c>
      <c r="AO7" s="28">
        <f t="shared" si="4"/>
        <v>0</v>
      </c>
      <c r="AP7" s="28"/>
      <c r="AQ7" s="28">
        <f aca="true" t="shared" si="9" ref="AQ7:AQ38">C7</f>
        <v>322</v>
      </c>
      <c r="AR7" s="215" t="str">
        <f aca="true" t="shared" si="10" ref="AR7:AR70">D7</f>
        <v>Rezetka Marek</v>
      </c>
      <c r="AS7" s="215">
        <f t="shared" si="5"/>
        <v>1995</v>
      </c>
      <c r="AT7" s="215" t="str">
        <f t="shared" si="6"/>
        <v>SOŠ Komenského</v>
      </c>
      <c r="AU7">
        <f aca="true" t="shared" si="11" ref="AU7:AU70">A7</f>
        <v>2</v>
      </c>
      <c r="AW7" s="77">
        <f t="shared" si="7"/>
        <v>34869</v>
      </c>
      <c r="AZ7" s="78"/>
      <c r="BA7" s="28"/>
      <c r="BB7" s="28"/>
      <c r="BC7" s="28"/>
      <c r="BD7" s="28"/>
      <c r="BE7" s="28"/>
      <c r="BF7" s="78"/>
      <c r="BG7" s="28"/>
      <c r="BH7" s="28"/>
      <c r="BI7" s="28"/>
      <c r="BJ7" s="28"/>
      <c r="BK7" s="28"/>
      <c r="BL7" s="77"/>
      <c r="BM7" s="219">
        <v>1</v>
      </c>
      <c r="BN7" s="220">
        <v>100</v>
      </c>
      <c r="BQ7" s="14" t="s">
        <v>127</v>
      </c>
      <c r="BR7" s="14" t="str">
        <f>TRIM(BQ7)</f>
        <v>Brat Adam</v>
      </c>
      <c r="BS7" s="14">
        <v>1998</v>
      </c>
      <c r="BT7" s="14" t="s">
        <v>0</v>
      </c>
      <c r="BU7" s="1">
        <v>1</v>
      </c>
    </row>
    <row r="8" spans="1:73" ht="15.75">
      <c r="A8" s="79">
        <f t="shared" si="8"/>
        <v>3</v>
      </c>
      <c r="B8" s="80">
        <f t="shared" si="1"/>
        <v>558</v>
      </c>
      <c r="C8" s="81">
        <f t="shared" si="2"/>
        <v>293.2</v>
      </c>
      <c r="D8" s="82" t="s">
        <v>18</v>
      </c>
      <c r="E8" s="84">
        <v>35151</v>
      </c>
      <c r="F8" s="85" t="s">
        <v>0</v>
      </c>
      <c r="G8" s="86">
        <v>50</v>
      </c>
      <c r="H8" s="82">
        <v>50</v>
      </c>
      <c r="I8" s="87">
        <f>65+32+50+15+15</f>
        <v>177</v>
      </c>
      <c r="J8" s="88"/>
      <c r="K8" s="89"/>
      <c r="L8" s="90">
        <f>2+32+2+20+2+32+2+15+2+14+2+32+2+20+2+32</f>
        <v>213</v>
      </c>
      <c r="M8" s="100"/>
      <c r="N8" s="91"/>
      <c r="O8" s="91">
        <f>2+14+2+32+2+32+2+32</f>
        <v>118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3"/>
      <c r="AK8" s="93"/>
      <c r="AL8" s="93"/>
      <c r="AM8" s="94"/>
      <c r="AN8" s="95">
        <f t="shared" si="3"/>
        <v>558</v>
      </c>
      <c r="AO8" s="28">
        <f t="shared" si="4"/>
        <v>331</v>
      </c>
      <c r="AP8" s="28"/>
      <c r="AQ8" s="28">
        <f t="shared" si="9"/>
        <v>293.2</v>
      </c>
      <c r="AR8" s="215" t="str">
        <f t="shared" si="10"/>
        <v>Dugovič Miloš</v>
      </c>
      <c r="AS8" s="215">
        <f t="shared" si="5"/>
        <v>1996</v>
      </c>
      <c r="AT8" s="215" t="str">
        <f t="shared" si="6"/>
        <v>Bielenisko</v>
      </c>
      <c r="AU8">
        <f t="shared" si="11"/>
        <v>3</v>
      </c>
      <c r="AV8" s="96"/>
      <c r="AW8" s="77">
        <f t="shared" si="7"/>
        <v>35151</v>
      </c>
      <c r="AZ8" s="78"/>
      <c r="BA8" s="28"/>
      <c r="BB8" s="28"/>
      <c r="BC8" s="28"/>
      <c r="BD8" s="28"/>
      <c r="BE8" s="28"/>
      <c r="BF8" s="78"/>
      <c r="BG8" s="28"/>
      <c r="BH8" s="28"/>
      <c r="BI8" s="28"/>
      <c r="BJ8" s="28"/>
      <c r="BK8" s="28"/>
      <c r="BL8" s="77"/>
      <c r="BM8" s="219">
        <v>2</v>
      </c>
      <c r="BN8" s="220">
        <v>80</v>
      </c>
      <c r="BQ8" s="14" t="s">
        <v>204</v>
      </c>
      <c r="BR8" s="14" t="str">
        <f aca="true" t="shared" si="12" ref="BR8:BR71">TRIM(BQ8)</f>
        <v>Alexy Ján</v>
      </c>
      <c r="BS8" s="14">
        <v>1993</v>
      </c>
      <c r="BT8" s="14" t="s">
        <v>126</v>
      </c>
      <c r="BU8" s="1">
        <v>2</v>
      </c>
    </row>
    <row r="9" spans="1:73" ht="15.75">
      <c r="A9" s="79">
        <f t="shared" si="8"/>
        <v>4</v>
      </c>
      <c r="B9" s="80">
        <f t="shared" si="1"/>
        <v>531</v>
      </c>
      <c r="C9" s="81">
        <f t="shared" si="2"/>
        <v>266.2</v>
      </c>
      <c r="D9" s="82" t="s">
        <v>21</v>
      </c>
      <c r="E9" s="84">
        <v>35681</v>
      </c>
      <c r="F9" s="85" t="s">
        <v>0</v>
      </c>
      <c r="G9" s="86">
        <v>80</v>
      </c>
      <c r="H9" s="82">
        <v>80</v>
      </c>
      <c r="I9" s="87">
        <f>50+15+20+15+20</f>
        <v>120</v>
      </c>
      <c r="J9" s="88"/>
      <c r="K9" s="89"/>
      <c r="L9" s="90">
        <f>107+2+20+2+32+2+14+2+32</f>
        <v>213</v>
      </c>
      <c r="M9" s="91"/>
      <c r="N9" s="91"/>
      <c r="O9" s="91">
        <f>2+32+2+32+2+14+2+32</f>
        <v>118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2"/>
      <c r="AG9" s="91"/>
      <c r="AH9" s="91"/>
      <c r="AI9" s="91"/>
      <c r="AJ9" s="93"/>
      <c r="AK9" s="93"/>
      <c r="AL9" s="93"/>
      <c r="AM9" s="94"/>
      <c r="AN9" s="95">
        <f t="shared" si="3"/>
        <v>531</v>
      </c>
      <c r="AO9" s="28">
        <f t="shared" si="4"/>
        <v>331</v>
      </c>
      <c r="AP9" s="28"/>
      <c r="AQ9" s="28">
        <f t="shared" si="9"/>
        <v>266.2</v>
      </c>
      <c r="AR9" s="215" t="str">
        <f t="shared" si="10"/>
        <v>Sklenár Matúš</v>
      </c>
      <c r="AS9" s="215">
        <f t="shared" si="5"/>
        <v>1997</v>
      </c>
      <c r="AT9" s="215" t="str">
        <f t="shared" si="6"/>
        <v>Bielenisko</v>
      </c>
      <c r="AU9">
        <f t="shared" si="11"/>
        <v>4</v>
      </c>
      <c r="AW9" s="77">
        <f t="shared" si="7"/>
        <v>35681</v>
      </c>
      <c r="AZ9" s="78"/>
      <c r="BA9" s="28"/>
      <c r="BB9" s="28"/>
      <c r="BC9" s="28"/>
      <c r="BD9" s="28"/>
      <c r="BE9" s="28"/>
      <c r="BF9" s="78"/>
      <c r="BG9" s="28"/>
      <c r="BH9" s="28"/>
      <c r="BI9" s="28"/>
      <c r="BJ9" s="28"/>
      <c r="BK9" s="28"/>
      <c r="BL9" s="77"/>
      <c r="BM9" s="219" t="s">
        <v>191</v>
      </c>
      <c r="BN9" s="220" t="s">
        <v>192</v>
      </c>
      <c r="BQ9" s="14" t="s">
        <v>139</v>
      </c>
      <c r="BR9" s="14" t="str">
        <f t="shared" si="12"/>
        <v>Šikula Marek</v>
      </c>
      <c r="BS9" s="14">
        <v>1993</v>
      </c>
      <c r="BT9" s="14" t="s">
        <v>126</v>
      </c>
      <c r="BU9" s="1">
        <v>3</v>
      </c>
    </row>
    <row r="10" spans="1:73" ht="15.75">
      <c r="A10" s="79">
        <f t="shared" si="8"/>
        <v>5</v>
      </c>
      <c r="B10" s="80">
        <f t="shared" si="1"/>
        <v>314</v>
      </c>
      <c r="C10" s="81">
        <f t="shared" si="2"/>
        <v>219.6</v>
      </c>
      <c r="D10" s="82" t="s">
        <v>146</v>
      </c>
      <c r="E10" s="84">
        <v>35452</v>
      </c>
      <c r="F10" s="85" t="s">
        <v>0</v>
      </c>
      <c r="G10" s="86">
        <v>50</v>
      </c>
      <c r="H10" s="82">
        <v>50</v>
      </c>
      <c r="I10" s="87">
        <f>65+32+20+15+14</f>
        <v>146</v>
      </c>
      <c r="J10" s="88"/>
      <c r="K10" s="89"/>
      <c r="L10" s="90"/>
      <c r="M10" s="91"/>
      <c r="N10" s="91"/>
      <c r="O10" s="91">
        <f>2+32+2+14+2+32+2+32</f>
        <v>118</v>
      </c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3"/>
      <c r="AK10" s="93"/>
      <c r="AL10" s="93"/>
      <c r="AM10" s="94"/>
      <c r="AN10" s="95">
        <f t="shared" si="3"/>
        <v>314</v>
      </c>
      <c r="AO10" s="28">
        <f t="shared" si="4"/>
        <v>118</v>
      </c>
      <c r="AP10" s="28"/>
      <c r="AQ10" s="28">
        <f t="shared" si="9"/>
        <v>219.6</v>
      </c>
      <c r="AR10" s="215" t="str">
        <f t="shared" si="10"/>
        <v>Habšuda Peter</v>
      </c>
      <c r="AS10" s="215">
        <f t="shared" si="5"/>
        <v>1997</v>
      </c>
      <c r="AT10" s="215" t="str">
        <f t="shared" si="6"/>
        <v>Bielenisko</v>
      </c>
      <c r="AU10">
        <f t="shared" si="11"/>
        <v>5</v>
      </c>
      <c r="AV10" s="96"/>
      <c r="AW10" s="77">
        <f t="shared" si="7"/>
        <v>35452</v>
      </c>
      <c r="AZ10" s="78"/>
      <c r="BA10" s="28"/>
      <c r="BB10" s="28"/>
      <c r="BC10" s="28"/>
      <c r="BD10" s="28"/>
      <c r="BE10" s="28"/>
      <c r="BF10" s="78"/>
      <c r="BG10" s="28"/>
      <c r="BH10" s="28"/>
      <c r="BI10" s="28"/>
      <c r="BJ10" s="28"/>
      <c r="BK10" s="28"/>
      <c r="BL10" s="77"/>
      <c r="BM10" s="219" t="s">
        <v>193</v>
      </c>
      <c r="BN10" s="220" t="s">
        <v>194</v>
      </c>
      <c r="BQ10" s="14" t="s">
        <v>21</v>
      </c>
      <c r="BR10" s="14" t="str">
        <f t="shared" si="12"/>
        <v>Sklenár Matúš</v>
      </c>
      <c r="BS10" s="14">
        <v>1997</v>
      </c>
      <c r="BT10" s="14" t="s">
        <v>0</v>
      </c>
      <c r="BU10" s="1">
        <v>4</v>
      </c>
    </row>
    <row r="11" spans="1:73" ht="15.75">
      <c r="A11" s="79">
        <f t="shared" si="8"/>
        <v>6</v>
      </c>
      <c r="B11" s="80">
        <f t="shared" si="1"/>
        <v>335</v>
      </c>
      <c r="C11" s="81">
        <f t="shared" si="2"/>
        <v>191</v>
      </c>
      <c r="D11" s="82" t="s">
        <v>19</v>
      </c>
      <c r="E11" s="84">
        <v>35429</v>
      </c>
      <c r="F11" s="85" t="s">
        <v>0</v>
      </c>
      <c r="G11" s="86">
        <v>50</v>
      </c>
      <c r="H11" s="82">
        <v>50</v>
      </c>
      <c r="I11" s="87">
        <f>50+20+15+20</f>
        <v>105</v>
      </c>
      <c r="J11" s="88"/>
      <c r="K11" s="89"/>
      <c r="L11" s="90">
        <f>2+20+2+32+2+15+1+2+32+2+14+2+32+2+20</f>
        <v>180</v>
      </c>
      <c r="M11" s="91"/>
      <c r="N11" s="91"/>
      <c r="O11" s="91"/>
      <c r="P11" s="91"/>
      <c r="Q11" s="91"/>
      <c r="R11" s="91"/>
      <c r="S11" s="91"/>
      <c r="T11" s="91"/>
      <c r="U11" s="92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3"/>
      <c r="AK11" s="93"/>
      <c r="AL11" s="93"/>
      <c r="AM11" s="94"/>
      <c r="AN11" s="95">
        <f t="shared" si="3"/>
        <v>335</v>
      </c>
      <c r="AO11" s="28">
        <f t="shared" si="4"/>
        <v>180</v>
      </c>
      <c r="AP11" s="28"/>
      <c r="AQ11" s="28">
        <f t="shared" si="9"/>
        <v>191</v>
      </c>
      <c r="AR11" s="215" t="str">
        <f t="shared" si="10"/>
        <v>Košický Eduard</v>
      </c>
      <c r="AS11" s="215">
        <f t="shared" si="5"/>
        <v>1996</v>
      </c>
      <c r="AT11" s="215" t="str">
        <f t="shared" si="6"/>
        <v>Bielenisko</v>
      </c>
      <c r="AU11">
        <f t="shared" si="11"/>
        <v>6</v>
      </c>
      <c r="AW11" s="77">
        <f t="shared" si="7"/>
        <v>35429</v>
      </c>
      <c r="AZ11" s="78"/>
      <c r="BA11" s="28"/>
      <c r="BB11" s="28"/>
      <c r="BC11" s="28"/>
      <c r="BD11" s="28"/>
      <c r="BE11" s="28"/>
      <c r="BF11" s="78"/>
      <c r="BG11" s="28"/>
      <c r="BH11" s="28"/>
      <c r="BI11" s="28"/>
      <c r="BJ11" s="28"/>
      <c r="BK11" s="28"/>
      <c r="BL11" s="77"/>
      <c r="BM11" s="219" t="s">
        <v>195</v>
      </c>
      <c r="BN11" s="220" t="s">
        <v>196</v>
      </c>
      <c r="BQ11" s="14" t="s">
        <v>18</v>
      </c>
      <c r="BR11" s="14" t="str">
        <f t="shared" si="12"/>
        <v>Dugovič Miloš</v>
      </c>
      <c r="BS11" s="14">
        <v>1996</v>
      </c>
      <c r="BT11" s="14" t="s">
        <v>0</v>
      </c>
      <c r="BU11" s="1">
        <v>5</v>
      </c>
    </row>
    <row r="12" spans="1:73" ht="15.75">
      <c r="A12" s="79">
        <f t="shared" si="8"/>
        <v>7</v>
      </c>
      <c r="B12" s="80">
        <f t="shared" si="1"/>
        <v>229</v>
      </c>
      <c r="C12" s="81">
        <f t="shared" si="2"/>
        <v>185</v>
      </c>
      <c r="D12" s="82" t="s">
        <v>27</v>
      </c>
      <c r="E12" s="84">
        <v>35082</v>
      </c>
      <c r="F12" s="85" t="s">
        <v>0</v>
      </c>
      <c r="G12" s="86">
        <v>32</v>
      </c>
      <c r="H12" s="82">
        <v>32</v>
      </c>
      <c r="I12" s="87">
        <f>50+32+20+20+20</f>
        <v>142</v>
      </c>
      <c r="J12" s="88"/>
      <c r="K12" s="89"/>
      <c r="L12" s="90"/>
      <c r="M12" s="91"/>
      <c r="N12" s="91"/>
      <c r="O12" s="91">
        <f>2+50+3</f>
        <v>55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3"/>
      <c r="AK12" s="93"/>
      <c r="AL12" s="93"/>
      <c r="AM12" s="94"/>
      <c r="AN12" s="95">
        <f t="shared" si="3"/>
        <v>229</v>
      </c>
      <c r="AO12" s="28">
        <f t="shared" si="4"/>
        <v>55</v>
      </c>
      <c r="AP12" s="28"/>
      <c r="AQ12" s="28">
        <f t="shared" si="9"/>
        <v>185</v>
      </c>
      <c r="AR12" s="215" t="str">
        <f t="shared" si="10"/>
        <v>Svetlák Patrik</v>
      </c>
      <c r="AS12" s="215">
        <f t="shared" si="5"/>
        <v>1996</v>
      </c>
      <c r="AT12" s="215" t="str">
        <f t="shared" si="6"/>
        <v>Bielenisko</v>
      </c>
      <c r="AU12">
        <f t="shared" si="11"/>
        <v>7</v>
      </c>
      <c r="AW12" s="77">
        <f t="shared" si="7"/>
        <v>35082</v>
      </c>
      <c r="AZ12" s="78"/>
      <c r="BA12" s="28"/>
      <c r="BB12" s="28"/>
      <c r="BC12" s="28"/>
      <c r="BD12" s="28"/>
      <c r="BE12" s="28"/>
      <c r="BF12" s="78"/>
      <c r="BG12" s="28"/>
      <c r="BH12" s="28"/>
      <c r="BI12" s="28"/>
      <c r="BJ12" s="28"/>
      <c r="BK12" s="28"/>
      <c r="BL12" s="77"/>
      <c r="BM12" s="219" t="s">
        <v>197</v>
      </c>
      <c r="BN12" s="220" t="s">
        <v>198</v>
      </c>
      <c r="BQ12" s="14" t="s">
        <v>205</v>
      </c>
      <c r="BR12" s="14" t="str">
        <f t="shared" si="12"/>
        <v>Šimončič Martin</v>
      </c>
      <c r="BS12" s="14">
        <v>1995</v>
      </c>
      <c r="BT12" s="14" t="s">
        <v>206</v>
      </c>
      <c r="BU12" s="1">
        <v>6</v>
      </c>
    </row>
    <row r="13" spans="1:73" ht="15.75">
      <c r="A13" s="79">
        <f t="shared" si="8"/>
        <v>8</v>
      </c>
      <c r="B13" s="80">
        <f t="shared" si="1"/>
        <v>301</v>
      </c>
      <c r="C13" s="81">
        <f t="shared" si="2"/>
        <v>176.2</v>
      </c>
      <c r="D13" s="82" t="s">
        <v>64</v>
      </c>
      <c r="E13" s="84">
        <v>35626</v>
      </c>
      <c r="F13" s="85" t="s">
        <v>55</v>
      </c>
      <c r="G13" s="86">
        <v>32</v>
      </c>
      <c r="H13" s="82">
        <v>32</v>
      </c>
      <c r="I13" s="87">
        <f>50+32+16+15</f>
        <v>113</v>
      </c>
      <c r="J13" s="88"/>
      <c r="K13" s="89"/>
      <c r="L13" s="90">
        <f>1+2+100+1+2+50</f>
        <v>156</v>
      </c>
      <c r="M13" s="91"/>
      <c r="N13" s="91"/>
      <c r="O13" s="91"/>
      <c r="P13" s="92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3"/>
      <c r="AK13" s="93"/>
      <c r="AL13" s="93"/>
      <c r="AM13" s="94"/>
      <c r="AN13" s="95">
        <f t="shared" si="3"/>
        <v>301</v>
      </c>
      <c r="AO13" s="28">
        <f t="shared" si="4"/>
        <v>156</v>
      </c>
      <c r="AP13" s="28"/>
      <c r="AQ13" s="28">
        <f t="shared" si="9"/>
        <v>176.2</v>
      </c>
      <c r="AR13" s="215" t="str">
        <f t="shared" si="10"/>
        <v>Velich Tomáš</v>
      </c>
      <c r="AS13" s="215">
        <f t="shared" si="5"/>
        <v>1997</v>
      </c>
      <c r="AT13" s="215" t="str">
        <f t="shared" si="6"/>
        <v>Fándlyho</v>
      </c>
      <c r="AU13">
        <f t="shared" si="11"/>
        <v>8</v>
      </c>
      <c r="AV13" s="96"/>
      <c r="AW13" s="77">
        <f t="shared" si="7"/>
        <v>35626</v>
      </c>
      <c r="AZ13" s="78"/>
      <c r="BA13" s="28"/>
      <c r="BB13" s="28"/>
      <c r="BC13" s="28"/>
      <c r="BD13" s="28"/>
      <c r="BE13" s="28"/>
      <c r="BF13" s="78"/>
      <c r="BG13" s="28"/>
      <c r="BH13" s="28"/>
      <c r="BI13" s="28"/>
      <c r="BJ13" s="28"/>
      <c r="BK13" s="28"/>
      <c r="BL13" s="77"/>
      <c r="BM13" s="219" t="s">
        <v>199</v>
      </c>
      <c r="BN13" s="220" t="s">
        <v>200</v>
      </c>
      <c r="BQ13" s="14" t="s">
        <v>207</v>
      </c>
      <c r="BR13" s="14" t="str">
        <f t="shared" si="12"/>
        <v>Cungel Lukáš</v>
      </c>
      <c r="BS13" s="14">
        <v>1994</v>
      </c>
      <c r="BT13" s="14" t="s">
        <v>55</v>
      </c>
      <c r="BU13" s="1">
        <v>7</v>
      </c>
    </row>
    <row r="14" spans="1:73" ht="15.75">
      <c r="A14" s="79">
        <f t="shared" si="8"/>
        <v>9</v>
      </c>
      <c r="B14" s="80">
        <f t="shared" si="1"/>
        <v>142</v>
      </c>
      <c r="C14" s="81">
        <f t="shared" si="2"/>
        <v>142</v>
      </c>
      <c r="D14" s="82" t="s">
        <v>247</v>
      </c>
      <c r="E14" s="84">
        <v>35631</v>
      </c>
      <c r="F14" s="85" t="s">
        <v>0</v>
      </c>
      <c r="G14" s="86">
        <v>50</v>
      </c>
      <c r="H14" s="82">
        <v>50</v>
      </c>
      <c r="I14" s="87">
        <f>32+20+20+20</f>
        <v>92</v>
      </c>
      <c r="J14" s="88"/>
      <c r="K14" s="89"/>
      <c r="L14" s="90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3"/>
      <c r="AK14" s="93"/>
      <c r="AL14" s="93"/>
      <c r="AM14" s="94"/>
      <c r="AN14" s="95">
        <f t="shared" si="3"/>
        <v>142</v>
      </c>
      <c r="AO14" s="28">
        <f t="shared" si="4"/>
        <v>0</v>
      </c>
      <c r="AP14" s="28"/>
      <c r="AQ14" s="28">
        <f t="shared" si="9"/>
        <v>142</v>
      </c>
      <c r="AR14" s="215" t="str">
        <f t="shared" si="10"/>
        <v>Jakubec Dávid</v>
      </c>
      <c r="AS14" s="215">
        <f t="shared" si="5"/>
        <v>1997</v>
      </c>
      <c r="AT14" s="215" t="str">
        <f t="shared" si="6"/>
        <v>Bielenisko</v>
      </c>
      <c r="AU14">
        <f t="shared" si="11"/>
        <v>9</v>
      </c>
      <c r="AV14" s="97"/>
      <c r="AW14" s="77">
        <f t="shared" si="7"/>
        <v>35631</v>
      </c>
      <c r="AZ14" s="78"/>
      <c r="BA14" s="28"/>
      <c r="BB14" s="28"/>
      <c r="BC14" s="28"/>
      <c r="BD14" s="28"/>
      <c r="BE14" s="28"/>
      <c r="BF14" s="78"/>
      <c r="BG14" s="28"/>
      <c r="BH14" s="28"/>
      <c r="BI14" s="28"/>
      <c r="BJ14" s="28"/>
      <c r="BK14" s="28"/>
      <c r="BL14" s="77"/>
      <c r="BM14" s="219" t="s">
        <v>201</v>
      </c>
      <c r="BN14" s="220" t="s">
        <v>202</v>
      </c>
      <c r="BQ14" s="14" t="s">
        <v>208</v>
      </c>
      <c r="BR14" s="14" t="str">
        <f t="shared" si="12"/>
        <v>Libič Kristián</v>
      </c>
      <c r="BS14" s="14">
        <v>1996</v>
      </c>
      <c r="BT14" s="14" t="s">
        <v>206</v>
      </c>
      <c r="BU14" s="1">
        <v>8</v>
      </c>
    </row>
    <row r="15" spans="1:73" ht="15.75">
      <c r="A15" s="79">
        <f t="shared" si="8"/>
        <v>10</v>
      </c>
      <c r="B15" s="80">
        <f t="shared" si="1"/>
        <v>136</v>
      </c>
      <c r="C15" s="81">
        <f t="shared" si="2"/>
        <v>136</v>
      </c>
      <c r="D15" s="82" t="s">
        <v>131</v>
      </c>
      <c r="E15" s="84">
        <v>35527</v>
      </c>
      <c r="F15" s="85" t="s">
        <v>126</v>
      </c>
      <c r="G15" s="86">
        <v>32</v>
      </c>
      <c r="H15" s="82">
        <v>32</v>
      </c>
      <c r="I15" s="87">
        <f>32+20+20+32</f>
        <v>104</v>
      </c>
      <c r="J15" s="88"/>
      <c r="K15" s="89"/>
      <c r="L15" s="90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3"/>
      <c r="AK15" s="93"/>
      <c r="AL15" s="93"/>
      <c r="AM15" s="94"/>
      <c r="AN15" s="95">
        <f t="shared" si="3"/>
        <v>136</v>
      </c>
      <c r="AO15" s="28">
        <f t="shared" si="4"/>
        <v>0</v>
      </c>
      <c r="AP15" s="28"/>
      <c r="AQ15" s="28">
        <f t="shared" si="9"/>
        <v>136</v>
      </c>
      <c r="AR15" s="215" t="str">
        <f t="shared" si="10"/>
        <v>Hrašna Marek</v>
      </c>
      <c r="AS15" s="215">
        <f t="shared" si="5"/>
        <v>1997</v>
      </c>
      <c r="AT15" s="215" t="str">
        <f t="shared" si="6"/>
        <v>Gymnázium</v>
      </c>
      <c r="AU15">
        <f t="shared" si="11"/>
        <v>10</v>
      </c>
      <c r="AW15" s="77">
        <f t="shared" si="7"/>
        <v>35527</v>
      </c>
      <c r="AZ15" s="78"/>
      <c r="BA15" s="28"/>
      <c r="BB15" s="28"/>
      <c r="BC15" s="28"/>
      <c r="BD15" s="28"/>
      <c r="BE15" s="28"/>
      <c r="BF15" s="78"/>
      <c r="BG15" s="28"/>
      <c r="BH15" s="28"/>
      <c r="BI15" s="28"/>
      <c r="BJ15" s="28"/>
      <c r="BK15" s="28"/>
      <c r="BL15" s="28"/>
      <c r="BM15" s="28"/>
      <c r="BQ15" s="14" t="s">
        <v>63</v>
      </c>
      <c r="BR15" s="14" t="str">
        <f t="shared" si="12"/>
        <v>Čík Eduard</v>
      </c>
      <c r="BS15" s="14">
        <v>1995</v>
      </c>
      <c r="BT15" s="14" t="s">
        <v>55</v>
      </c>
      <c r="BU15" s="1">
        <v>9</v>
      </c>
    </row>
    <row r="16" spans="1:73" ht="15.75">
      <c r="A16" s="79">
        <f t="shared" si="8"/>
        <v>11</v>
      </c>
      <c r="B16" s="80">
        <f t="shared" si="1"/>
        <v>131</v>
      </c>
      <c r="C16" s="81">
        <f t="shared" si="2"/>
        <v>131</v>
      </c>
      <c r="D16" s="82" t="s">
        <v>127</v>
      </c>
      <c r="E16" s="84">
        <v>36130</v>
      </c>
      <c r="F16" s="85" t="s">
        <v>126</v>
      </c>
      <c r="G16" s="86">
        <v>100</v>
      </c>
      <c r="H16" s="82">
        <v>100</v>
      </c>
      <c r="I16" s="87">
        <f>16+15</f>
        <v>31</v>
      </c>
      <c r="J16" s="88"/>
      <c r="K16" s="89"/>
      <c r="L16" s="90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3"/>
      <c r="AK16" s="93"/>
      <c r="AL16" s="93"/>
      <c r="AM16" s="94"/>
      <c r="AN16" s="95">
        <f t="shared" si="3"/>
        <v>131</v>
      </c>
      <c r="AO16" s="28">
        <f t="shared" si="4"/>
        <v>0</v>
      </c>
      <c r="AP16" s="28"/>
      <c r="AQ16" s="28">
        <f t="shared" si="9"/>
        <v>131</v>
      </c>
      <c r="AR16" s="215" t="str">
        <f t="shared" si="10"/>
        <v>Brat Adam</v>
      </c>
      <c r="AS16" s="215">
        <f t="shared" si="5"/>
        <v>1998</v>
      </c>
      <c r="AT16" s="215" t="str">
        <f t="shared" si="6"/>
        <v>Gymnázium</v>
      </c>
      <c r="AU16">
        <f t="shared" si="11"/>
        <v>11</v>
      </c>
      <c r="AV16" s="96"/>
      <c r="AW16" s="77">
        <f t="shared" si="7"/>
        <v>36130</v>
      </c>
      <c r="AZ16" s="78"/>
      <c r="BA16" s="28"/>
      <c r="BB16" s="28"/>
      <c r="BC16" s="28"/>
      <c r="BD16" s="28"/>
      <c r="BE16" s="28"/>
      <c r="BF16" s="78"/>
      <c r="BG16" s="28"/>
      <c r="BH16" s="28"/>
      <c r="BI16" s="28"/>
      <c r="BJ16" s="28"/>
      <c r="BK16" s="28"/>
      <c r="BL16" s="28"/>
      <c r="BM16" s="28"/>
      <c r="BQ16" s="14" t="s">
        <v>20</v>
      </c>
      <c r="BR16" s="14" t="str">
        <f t="shared" si="12"/>
        <v>Uherko Jakub</v>
      </c>
      <c r="BS16" s="14">
        <v>1996</v>
      </c>
      <c r="BT16" s="14" t="s">
        <v>0</v>
      </c>
      <c r="BU16" s="1">
        <v>10</v>
      </c>
    </row>
    <row r="17" spans="1:73" ht="15.75">
      <c r="A17" s="79">
        <f t="shared" si="8"/>
        <v>12</v>
      </c>
      <c r="B17" s="80">
        <f t="shared" si="1"/>
        <v>130</v>
      </c>
      <c r="C17" s="81">
        <f t="shared" si="2"/>
        <v>130</v>
      </c>
      <c r="D17" s="82" t="s">
        <v>132</v>
      </c>
      <c r="E17" s="84">
        <v>35614</v>
      </c>
      <c r="F17" s="85" t="s">
        <v>126</v>
      </c>
      <c r="G17" s="86">
        <v>20</v>
      </c>
      <c r="H17" s="82">
        <v>20</v>
      </c>
      <c r="I17" s="87">
        <f>32+16+30+32</f>
        <v>110</v>
      </c>
      <c r="J17" s="88"/>
      <c r="K17" s="89"/>
      <c r="L17" s="90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3"/>
      <c r="AK17" s="93"/>
      <c r="AL17" s="93"/>
      <c r="AM17" s="94"/>
      <c r="AN17" s="95">
        <f t="shared" si="3"/>
        <v>130</v>
      </c>
      <c r="AO17" s="28">
        <f t="shared" si="4"/>
        <v>0</v>
      </c>
      <c r="AP17" s="28"/>
      <c r="AQ17" s="28">
        <f t="shared" si="9"/>
        <v>130</v>
      </c>
      <c r="AR17" s="215" t="str">
        <f t="shared" si="10"/>
        <v>Marton Matej</v>
      </c>
      <c r="AS17" s="215">
        <f t="shared" si="5"/>
        <v>1997</v>
      </c>
      <c r="AT17" s="215" t="str">
        <f t="shared" si="6"/>
        <v>Gymnázium</v>
      </c>
      <c r="AU17">
        <f t="shared" si="11"/>
        <v>12</v>
      </c>
      <c r="AW17" s="77">
        <f t="shared" si="7"/>
        <v>35614</v>
      </c>
      <c r="AZ17" s="78"/>
      <c r="BA17" s="28"/>
      <c r="BB17" s="28"/>
      <c r="BC17" s="28"/>
      <c r="BD17" s="28"/>
      <c r="BE17" s="28"/>
      <c r="BF17" s="78"/>
      <c r="BG17" s="28"/>
      <c r="BH17" s="28"/>
      <c r="BI17" s="28"/>
      <c r="BJ17" s="28"/>
      <c r="BK17" s="28"/>
      <c r="BL17" s="28"/>
      <c r="BM17" s="28"/>
      <c r="BQ17" s="14" t="s">
        <v>209</v>
      </c>
      <c r="BR17" s="14" t="str">
        <f t="shared" si="12"/>
        <v>Dugovič Samuel</v>
      </c>
      <c r="BS17" s="14">
        <v>1994</v>
      </c>
      <c r="BT17" s="14" t="s">
        <v>87</v>
      </c>
      <c r="BU17" s="1">
        <v>10</v>
      </c>
    </row>
    <row r="18" spans="1:73" ht="15.75">
      <c r="A18" s="79">
        <f t="shared" si="8"/>
        <v>13</v>
      </c>
      <c r="B18" s="80">
        <f t="shared" si="1"/>
        <v>120</v>
      </c>
      <c r="C18" s="81">
        <f t="shared" si="2"/>
        <v>120</v>
      </c>
      <c r="D18" s="82" t="s">
        <v>137</v>
      </c>
      <c r="E18" s="84">
        <v>34262</v>
      </c>
      <c r="F18" s="85" t="s">
        <v>126</v>
      </c>
      <c r="G18" s="86">
        <v>32</v>
      </c>
      <c r="H18" s="82">
        <v>32</v>
      </c>
      <c r="I18" s="87">
        <f>32+20+20+16</f>
        <v>88</v>
      </c>
      <c r="J18" s="88"/>
      <c r="K18" s="89"/>
      <c r="L18" s="90"/>
      <c r="M18" s="91"/>
      <c r="N18" s="91"/>
      <c r="O18" s="91"/>
      <c r="P18" s="92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3"/>
      <c r="AK18" s="93"/>
      <c r="AL18" s="93"/>
      <c r="AM18" s="94"/>
      <c r="AN18" s="95">
        <f t="shared" si="3"/>
        <v>120</v>
      </c>
      <c r="AO18" s="28">
        <f t="shared" si="4"/>
        <v>0</v>
      </c>
      <c r="AP18" s="28"/>
      <c r="AQ18" s="28">
        <f t="shared" si="9"/>
        <v>120</v>
      </c>
      <c r="AR18" s="215" t="str">
        <f t="shared" si="10"/>
        <v>Zaťko Martin</v>
      </c>
      <c r="AS18" s="215">
        <f t="shared" si="5"/>
        <v>1993</v>
      </c>
      <c r="AT18" s="215" t="str">
        <f t="shared" si="6"/>
        <v>Gymnázium</v>
      </c>
      <c r="AU18">
        <f t="shared" si="11"/>
        <v>13</v>
      </c>
      <c r="AW18" s="77">
        <f t="shared" si="7"/>
        <v>34262</v>
      </c>
      <c r="BQ18" s="14" t="s">
        <v>210</v>
      </c>
      <c r="BR18" s="14" t="str">
        <f t="shared" si="12"/>
        <v>Škríp Matej</v>
      </c>
      <c r="BS18" s="14">
        <v>1994</v>
      </c>
      <c r="BT18" s="14" t="s">
        <v>206</v>
      </c>
      <c r="BU18" s="1">
        <v>12</v>
      </c>
    </row>
    <row r="19" spans="1:73" ht="15" customHeight="1">
      <c r="A19" s="79">
        <f t="shared" si="8"/>
        <v>14</v>
      </c>
      <c r="B19" s="80">
        <f t="shared" si="1"/>
        <v>99</v>
      </c>
      <c r="C19" s="81">
        <f t="shared" si="2"/>
        <v>99</v>
      </c>
      <c r="D19" s="82" t="s">
        <v>351</v>
      </c>
      <c r="E19" s="84">
        <v>35422</v>
      </c>
      <c r="F19" s="85" t="s">
        <v>337</v>
      </c>
      <c r="G19" s="86">
        <v>32</v>
      </c>
      <c r="H19" s="82"/>
      <c r="I19" s="87">
        <f>32+15+32+20</f>
        <v>99</v>
      </c>
      <c r="J19" s="88"/>
      <c r="K19" s="89"/>
      <c r="L19" s="90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3"/>
      <c r="AK19" s="93"/>
      <c r="AL19" s="93"/>
      <c r="AM19" s="94"/>
      <c r="AN19" s="95">
        <f t="shared" si="3"/>
        <v>99</v>
      </c>
      <c r="AO19" s="28">
        <f t="shared" si="4"/>
        <v>0</v>
      </c>
      <c r="AP19" s="28"/>
      <c r="AQ19" s="28">
        <f t="shared" si="9"/>
        <v>99</v>
      </c>
      <c r="AR19" s="215" t="str">
        <f t="shared" si="10"/>
        <v>Nečas Denis</v>
      </c>
      <c r="AS19" s="215">
        <f t="shared" si="5"/>
        <v>1996</v>
      </c>
      <c r="AT19" s="215" t="str">
        <f t="shared" si="6"/>
        <v>Svätý Jur</v>
      </c>
      <c r="AU19">
        <f t="shared" si="11"/>
        <v>14</v>
      </c>
      <c r="AW19" s="77">
        <f t="shared" si="7"/>
        <v>35422</v>
      </c>
      <c r="BQ19" s="14" t="s">
        <v>211</v>
      </c>
      <c r="BR19" s="14" t="str">
        <f t="shared" si="12"/>
        <v>Trochta Daniel</v>
      </c>
      <c r="BS19" s="14">
        <v>1994</v>
      </c>
      <c r="BT19" s="14" t="s">
        <v>87</v>
      </c>
      <c r="BU19" s="1">
        <v>13</v>
      </c>
    </row>
    <row r="20" spans="1:73" ht="15" customHeight="1">
      <c r="A20" s="79">
        <f t="shared" si="8"/>
        <v>15</v>
      </c>
      <c r="B20" s="80">
        <f t="shared" si="1"/>
        <v>96</v>
      </c>
      <c r="C20" s="81">
        <f t="shared" si="2"/>
        <v>96</v>
      </c>
      <c r="D20" s="82" t="s">
        <v>20</v>
      </c>
      <c r="E20" s="84">
        <v>35391</v>
      </c>
      <c r="F20" s="85" t="s">
        <v>0</v>
      </c>
      <c r="G20" s="86">
        <v>32</v>
      </c>
      <c r="H20" s="82"/>
      <c r="I20" s="87">
        <f>32+32+32</f>
        <v>96</v>
      </c>
      <c r="J20" s="88"/>
      <c r="K20" s="89"/>
      <c r="L20" s="90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3"/>
      <c r="AK20" s="93"/>
      <c r="AL20" s="93"/>
      <c r="AM20" s="94"/>
      <c r="AN20" s="95">
        <f t="shared" si="3"/>
        <v>96</v>
      </c>
      <c r="AO20" s="28">
        <f t="shared" si="4"/>
        <v>0</v>
      </c>
      <c r="AP20" s="28"/>
      <c r="AQ20" s="28">
        <f t="shared" si="9"/>
        <v>96</v>
      </c>
      <c r="AR20" s="215" t="str">
        <f t="shared" si="10"/>
        <v>Uherko Jakub</v>
      </c>
      <c r="AS20" s="215">
        <f t="shared" si="5"/>
        <v>1996</v>
      </c>
      <c r="AT20" s="215" t="str">
        <f t="shared" si="6"/>
        <v>Bielenisko</v>
      </c>
      <c r="AU20">
        <f t="shared" si="11"/>
        <v>15</v>
      </c>
      <c r="AV20" s="96"/>
      <c r="AW20" s="77">
        <f t="shared" si="7"/>
        <v>35391</v>
      </c>
      <c r="AZ20" s="34"/>
      <c r="BA20" s="34"/>
      <c r="BB20" s="213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Q20" s="14" t="s">
        <v>138</v>
      </c>
      <c r="BR20" s="14" t="str">
        <f t="shared" si="12"/>
        <v>Hámor Lukáš</v>
      </c>
      <c r="BS20" s="14">
        <v>1992</v>
      </c>
      <c r="BT20" s="14" t="s">
        <v>126</v>
      </c>
      <c r="BU20" s="1">
        <v>14</v>
      </c>
    </row>
    <row r="21" spans="1:73" ht="15.75">
      <c r="A21" s="79">
        <f t="shared" si="8"/>
        <v>16</v>
      </c>
      <c r="B21" s="80">
        <f t="shared" si="1"/>
        <v>96</v>
      </c>
      <c r="C21" s="81">
        <f t="shared" si="2"/>
        <v>92.8</v>
      </c>
      <c r="D21" s="82" t="s">
        <v>25</v>
      </c>
      <c r="E21" s="84">
        <v>36051</v>
      </c>
      <c r="F21" s="85" t="s">
        <v>0</v>
      </c>
      <c r="G21" s="86">
        <v>32</v>
      </c>
      <c r="H21" s="82">
        <v>32</v>
      </c>
      <c r="I21" s="87">
        <f>20+20+20</f>
        <v>60</v>
      </c>
      <c r="J21" s="88"/>
      <c r="K21" s="89"/>
      <c r="L21" s="90"/>
      <c r="M21" s="91"/>
      <c r="N21" s="91"/>
      <c r="O21" s="91">
        <v>4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3"/>
      <c r="AK21" s="93"/>
      <c r="AL21" s="93"/>
      <c r="AM21" s="94"/>
      <c r="AN21" s="95">
        <f t="shared" si="3"/>
        <v>96</v>
      </c>
      <c r="AO21" s="28">
        <f t="shared" si="4"/>
        <v>4</v>
      </c>
      <c r="AP21" s="28"/>
      <c r="AQ21" s="28">
        <f t="shared" si="9"/>
        <v>92.8</v>
      </c>
      <c r="AR21" s="215" t="str">
        <f t="shared" si="10"/>
        <v>Kollár Karol</v>
      </c>
      <c r="AS21" s="215">
        <f t="shared" si="5"/>
        <v>1998</v>
      </c>
      <c r="AT21" s="215" t="str">
        <f t="shared" si="6"/>
        <v>Bielenisko</v>
      </c>
      <c r="AU21">
        <f t="shared" si="11"/>
        <v>16</v>
      </c>
      <c r="AW21" s="77">
        <f t="shared" si="7"/>
        <v>36051</v>
      </c>
      <c r="AZ21" s="214"/>
      <c r="BA21" s="214"/>
      <c r="BB21" s="60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Q21" s="14" t="s">
        <v>212</v>
      </c>
      <c r="BR21" s="14" t="str">
        <f t="shared" si="12"/>
        <v>Zelenay Šimon</v>
      </c>
      <c r="BS21" s="14">
        <v>1995</v>
      </c>
      <c r="BT21" s="14" t="s">
        <v>55</v>
      </c>
      <c r="BU21" s="1">
        <v>15</v>
      </c>
    </row>
    <row r="22" spans="1:73" ht="15.75">
      <c r="A22" s="79">
        <f t="shared" si="8"/>
        <v>17</v>
      </c>
      <c r="B22" s="80">
        <f t="shared" si="1"/>
        <v>82</v>
      </c>
      <c r="C22" s="81">
        <f t="shared" si="2"/>
        <v>82</v>
      </c>
      <c r="D22" s="82" t="s">
        <v>86</v>
      </c>
      <c r="E22" s="84">
        <v>35720</v>
      </c>
      <c r="F22" s="85" t="s">
        <v>55</v>
      </c>
      <c r="G22" s="86">
        <v>15</v>
      </c>
      <c r="H22" s="82">
        <v>15</v>
      </c>
      <c r="I22" s="87">
        <f>32+20+15</f>
        <v>67</v>
      </c>
      <c r="J22" s="88"/>
      <c r="K22" s="89"/>
      <c r="L22" s="90"/>
      <c r="M22" s="91"/>
      <c r="N22" s="91"/>
      <c r="O22" s="91"/>
      <c r="P22" s="92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3"/>
      <c r="AK22" s="93"/>
      <c r="AL22" s="93"/>
      <c r="AM22" s="94"/>
      <c r="AN22" s="95">
        <f t="shared" si="3"/>
        <v>82</v>
      </c>
      <c r="AO22" s="28">
        <f t="shared" si="4"/>
        <v>0</v>
      </c>
      <c r="AP22" s="28"/>
      <c r="AQ22" s="28">
        <f t="shared" si="9"/>
        <v>82</v>
      </c>
      <c r="AR22" s="215" t="str">
        <f t="shared" si="10"/>
        <v>Štefek Adam</v>
      </c>
      <c r="AS22" s="215">
        <f t="shared" si="5"/>
        <v>1997</v>
      </c>
      <c r="AT22" s="215" t="str">
        <f t="shared" si="6"/>
        <v>Fándlyho</v>
      </c>
      <c r="AU22">
        <f t="shared" si="11"/>
        <v>17</v>
      </c>
      <c r="AW22" s="77">
        <f t="shared" si="7"/>
        <v>35720</v>
      </c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Q22" s="14" t="s">
        <v>137</v>
      </c>
      <c r="BR22" s="14" t="str">
        <f t="shared" si="12"/>
        <v>Zaťko Martin</v>
      </c>
      <c r="BS22" s="14">
        <v>1993</v>
      </c>
      <c r="BT22" s="14" t="s">
        <v>126</v>
      </c>
      <c r="BU22" s="1">
        <v>16</v>
      </c>
    </row>
    <row r="23" spans="1:73" ht="15.75">
      <c r="A23" s="79">
        <f t="shared" si="8"/>
        <v>18</v>
      </c>
      <c r="B23" s="80">
        <f t="shared" si="1"/>
        <v>79</v>
      </c>
      <c r="C23" s="81">
        <f t="shared" si="2"/>
        <v>75.8</v>
      </c>
      <c r="D23" s="82" t="s">
        <v>84</v>
      </c>
      <c r="E23" s="84">
        <v>35307</v>
      </c>
      <c r="F23" s="85" t="s">
        <v>55</v>
      </c>
      <c r="G23" s="86">
        <v>20</v>
      </c>
      <c r="H23" s="82">
        <v>20</v>
      </c>
      <c r="I23" s="87">
        <f>20+20+15</f>
        <v>55</v>
      </c>
      <c r="J23" s="88"/>
      <c r="K23" s="89"/>
      <c r="L23" s="90">
        <v>4</v>
      </c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3"/>
      <c r="AK23" s="93"/>
      <c r="AL23" s="93"/>
      <c r="AM23" s="94"/>
      <c r="AN23" s="95">
        <f t="shared" si="3"/>
        <v>79</v>
      </c>
      <c r="AO23" s="28">
        <f t="shared" si="4"/>
        <v>4</v>
      </c>
      <c r="AP23" s="28"/>
      <c r="AQ23" s="28">
        <f t="shared" si="9"/>
        <v>75.8</v>
      </c>
      <c r="AR23" s="215" t="str">
        <f t="shared" si="10"/>
        <v>Konečný Martin</v>
      </c>
      <c r="AS23" s="215">
        <f t="shared" si="5"/>
        <v>1996</v>
      </c>
      <c r="AT23" s="215" t="str">
        <f t="shared" si="6"/>
        <v>Fándlyho</v>
      </c>
      <c r="AU23">
        <f t="shared" si="11"/>
        <v>18</v>
      </c>
      <c r="AW23" s="77">
        <f t="shared" si="7"/>
        <v>35307</v>
      </c>
      <c r="AZ23" s="78"/>
      <c r="BA23" s="28"/>
      <c r="BB23" s="28"/>
      <c r="BC23" s="28"/>
      <c r="BD23" s="28"/>
      <c r="BE23" s="28"/>
      <c r="BF23" s="78"/>
      <c r="BG23" s="28"/>
      <c r="BH23" s="28"/>
      <c r="BI23" s="28"/>
      <c r="BJ23" s="28"/>
      <c r="BK23" s="28"/>
      <c r="BL23" s="28"/>
      <c r="BM23" s="28"/>
      <c r="BQ23" s="14" t="s">
        <v>27</v>
      </c>
      <c r="BR23" s="14" t="str">
        <f t="shared" si="12"/>
        <v>Svetlák Patrik</v>
      </c>
      <c r="BS23" s="14">
        <v>1996</v>
      </c>
      <c r="BT23" s="14" t="s">
        <v>0</v>
      </c>
      <c r="BU23" s="1">
        <v>17</v>
      </c>
    </row>
    <row r="24" spans="1:73" ht="15.75">
      <c r="A24" s="79">
        <f t="shared" si="8"/>
        <v>19</v>
      </c>
      <c r="B24" s="80">
        <f t="shared" si="1"/>
        <v>72</v>
      </c>
      <c r="C24" s="81">
        <f t="shared" si="2"/>
        <v>72</v>
      </c>
      <c r="D24" s="82" t="s">
        <v>26</v>
      </c>
      <c r="E24" s="84">
        <v>35648</v>
      </c>
      <c r="F24" s="85" t="s">
        <v>0</v>
      </c>
      <c r="G24" s="86">
        <v>20</v>
      </c>
      <c r="H24" s="82">
        <v>20</v>
      </c>
      <c r="I24" s="87">
        <f>20+32</f>
        <v>52</v>
      </c>
      <c r="J24" s="88"/>
      <c r="K24" s="89"/>
      <c r="L24" s="90"/>
      <c r="M24" s="91"/>
      <c r="N24" s="91"/>
      <c r="O24" s="91"/>
      <c r="P24" s="92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3"/>
      <c r="AK24" s="93"/>
      <c r="AL24" s="93"/>
      <c r="AM24" s="94"/>
      <c r="AN24" s="95">
        <f t="shared" si="3"/>
        <v>72</v>
      </c>
      <c r="AO24" s="28">
        <f t="shared" si="4"/>
        <v>0</v>
      </c>
      <c r="AP24" s="28"/>
      <c r="AQ24" s="28">
        <f t="shared" si="9"/>
        <v>72</v>
      </c>
      <c r="AR24" s="215" t="str">
        <f t="shared" si="10"/>
        <v>Krasňanský Tomáš</v>
      </c>
      <c r="AS24" s="215">
        <f t="shared" si="5"/>
        <v>1997</v>
      </c>
      <c r="AT24" s="215" t="str">
        <f t="shared" si="6"/>
        <v>Bielenisko</v>
      </c>
      <c r="AU24">
        <f t="shared" si="11"/>
        <v>19</v>
      </c>
      <c r="AW24" s="77">
        <f t="shared" si="7"/>
        <v>35648</v>
      </c>
      <c r="AZ24" s="78"/>
      <c r="BA24" s="28"/>
      <c r="BB24" s="28"/>
      <c r="BC24" s="28"/>
      <c r="BD24" s="28"/>
      <c r="BE24" s="28"/>
      <c r="BF24" s="78"/>
      <c r="BG24" s="28"/>
      <c r="BH24" s="28"/>
      <c r="BI24" s="28"/>
      <c r="BJ24" s="28"/>
      <c r="BK24" s="28"/>
      <c r="BL24" s="28"/>
      <c r="BM24" s="28"/>
      <c r="BQ24" s="14" t="s">
        <v>213</v>
      </c>
      <c r="BR24" s="14" t="str">
        <f t="shared" si="12"/>
        <v>Brunovský Peter</v>
      </c>
      <c r="BS24" s="14">
        <v>1994</v>
      </c>
      <c r="BT24" s="14" t="s">
        <v>87</v>
      </c>
      <c r="BU24" s="1">
        <v>18</v>
      </c>
    </row>
    <row r="25" spans="1:73" ht="15.75">
      <c r="A25" s="79">
        <f t="shared" si="8"/>
        <v>20</v>
      </c>
      <c r="B25" s="80">
        <f t="shared" si="1"/>
        <v>68</v>
      </c>
      <c r="C25" s="81">
        <f t="shared" si="2"/>
        <v>68</v>
      </c>
      <c r="D25" s="82" t="s">
        <v>147</v>
      </c>
      <c r="E25" s="84">
        <v>35615</v>
      </c>
      <c r="F25" s="85" t="s">
        <v>145</v>
      </c>
      <c r="G25" s="86">
        <v>32</v>
      </c>
      <c r="H25" s="87">
        <v>32</v>
      </c>
      <c r="I25" s="87">
        <f>16+20</f>
        <v>36</v>
      </c>
      <c r="J25" s="88"/>
      <c r="K25" s="89"/>
      <c r="L25" s="90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3"/>
      <c r="AK25" s="93"/>
      <c r="AL25" s="93"/>
      <c r="AM25" s="94"/>
      <c r="AN25" s="95">
        <f t="shared" si="3"/>
        <v>68</v>
      </c>
      <c r="AO25" s="28">
        <f t="shared" si="4"/>
        <v>0</v>
      </c>
      <c r="AP25" s="28"/>
      <c r="AQ25" s="28">
        <f t="shared" si="9"/>
        <v>68</v>
      </c>
      <c r="AR25" s="215" t="str">
        <f t="shared" si="10"/>
        <v>Debrecký Martin</v>
      </c>
      <c r="AS25" s="215">
        <f t="shared" si="5"/>
        <v>1997</v>
      </c>
      <c r="AT25" s="215" t="str">
        <f t="shared" si="6"/>
        <v>Orešie</v>
      </c>
      <c r="AU25">
        <f t="shared" si="11"/>
        <v>20</v>
      </c>
      <c r="AW25" s="77">
        <f t="shared" si="7"/>
        <v>35615</v>
      </c>
      <c r="AZ25" s="78"/>
      <c r="BA25" s="28"/>
      <c r="BB25" s="28"/>
      <c r="BC25" s="28"/>
      <c r="BD25" s="28"/>
      <c r="BE25" s="28"/>
      <c r="BF25" s="78"/>
      <c r="BG25" s="28"/>
      <c r="BH25" s="28"/>
      <c r="BI25" s="28"/>
      <c r="BJ25" s="28"/>
      <c r="BK25" s="28"/>
      <c r="BL25" s="28"/>
      <c r="BM25" s="28"/>
      <c r="BQ25" s="14" t="s">
        <v>97</v>
      </c>
      <c r="BR25" s="14" t="str">
        <f t="shared" si="12"/>
        <v>Maršo Martin</v>
      </c>
      <c r="BS25" s="14">
        <v>1996</v>
      </c>
      <c r="BT25" s="14" t="s">
        <v>87</v>
      </c>
      <c r="BU25" s="1">
        <v>19</v>
      </c>
    </row>
    <row r="26" spans="1:73" ht="15.75">
      <c r="A26" s="79">
        <f t="shared" si="8"/>
        <v>21</v>
      </c>
      <c r="B26" s="80">
        <f t="shared" si="1"/>
        <v>67</v>
      </c>
      <c r="C26" s="81">
        <f t="shared" si="2"/>
        <v>67</v>
      </c>
      <c r="D26" s="82" t="s">
        <v>22</v>
      </c>
      <c r="E26" s="84">
        <v>35526</v>
      </c>
      <c r="F26" s="85" t="s">
        <v>0</v>
      </c>
      <c r="G26" s="86">
        <v>32</v>
      </c>
      <c r="H26" s="82"/>
      <c r="I26" s="87">
        <f>32+15+20</f>
        <v>67</v>
      </c>
      <c r="J26" s="88"/>
      <c r="K26" s="89"/>
      <c r="L26" s="90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3"/>
      <c r="AK26" s="93"/>
      <c r="AL26" s="93"/>
      <c r="AM26" s="94"/>
      <c r="AN26" s="95">
        <f t="shared" si="3"/>
        <v>67</v>
      </c>
      <c r="AO26" s="28">
        <f t="shared" si="4"/>
        <v>0</v>
      </c>
      <c r="AP26" s="28"/>
      <c r="AQ26" s="28">
        <f t="shared" si="9"/>
        <v>67</v>
      </c>
      <c r="AR26" s="215" t="str">
        <f t="shared" si="10"/>
        <v>Širjov Jakub</v>
      </c>
      <c r="AS26" s="215">
        <f t="shared" si="5"/>
        <v>1997</v>
      </c>
      <c r="AT26" s="215" t="str">
        <f t="shared" si="6"/>
        <v>Bielenisko</v>
      </c>
      <c r="AU26">
        <f t="shared" si="11"/>
        <v>21</v>
      </c>
      <c r="AV26" s="96"/>
      <c r="AW26" s="77">
        <f t="shared" si="7"/>
        <v>35526</v>
      </c>
      <c r="AZ26" s="78"/>
      <c r="BA26" s="28"/>
      <c r="BB26" s="28"/>
      <c r="BC26" s="28"/>
      <c r="BD26" s="28"/>
      <c r="BE26" s="28"/>
      <c r="BF26" s="78"/>
      <c r="BG26" s="28"/>
      <c r="BH26" s="28"/>
      <c r="BI26" s="28"/>
      <c r="BJ26" s="28"/>
      <c r="BK26" s="28"/>
      <c r="BL26" s="28"/>
      <c r="BM26" s="28"/>
      <c r="BQ26" s="14" t="s">
        <v>19</v>
      </c>
      <c r="BR26" s="14" t="str">
        <f t="shared" si="12"/>
        <v>Košický Eduard</v>
      </c>
      <c r="BS26" s="14">
        <v>1996</v>
      </c>
      <c r="BT26" s="14" t="s">
        <v>0</v>
      </c>
      <c r="BU26" s="1">
        <v>20</v>
      </c>
    </row>
    <row r="27" spans="1:73" ht="15.75">
      <c r="A27" s="79">
        <f t="shared" si="8"/>
        <v>22</v>
      </c>
      <c r="B27" s="80">
        <f t="shared" si="1"/>
        <v>56</v>
      </c>
      <c r="C27" s="81">
        <f t="shared" si="2"/>
        <v>56</v>
      </c>
      <c r="D27" s="82" t="s">
        <v>93</v>
      </c>
      <c r="E27" s="84">
        <v>35331</v>
      </c>
      <c r="F27" s="85" t="s">
        <v>87</v>
      </c>
      <c r="G27" s="86">
        <v>20</v>
      </c>
      <c r="H27" s="82">
        <v>20</v>
      </c>
      <c r="I27" s="87">
        <f>20+16</f>
        <v>36</v>
      </c>
      <c r="J27" s="88"/>
      <c r="K27" s="89"/>
      <c r="L27" s="90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3"/>
      <c r="AK27" s="93"/>
      <c r="AL27" s="93"/>
      <c r="AM27" s="94"/>
      <c r="AN27" s="95">
        <f t="shared" si="3"/>
        <v>56</v>
      </c>
      <c r="AO27" s="28">
        <f t="shared" si="4"/>
        <v>0</v>
      </c>
      <c r="AP27" s="28"/>
      <c r="AQ27" s="28">
        <f t="shared" si="9"/>
        <v>56</v>
      </c>
      <c r="AR27" s="215" t="str">
        <f t="shared" si="10"/>
        <v>Féder Marek</v>
      </c>
      <c r="AS27" s="215">
        <f t="shared" si="5"/>
        <v>1996</v>
      </c>
      <c r="AT27" s="215" t="str">
        <f t="shared" si="6"/>
        <v>Kupeckého</v>
      </c>
      <c r="AU27">
        <f t="shared" si="11"/>
        <v>22</v>
      </c>
      <c r="AV27" s="221"/>
      <c r="AW27" s="77">
        <f t="shared" si="7"/>
        <v>35331</v>
      </c>
      <c r="AZ27" s="78"/>
      <c r="BA27" s="28"/>
      <c r="BB27" s="28"/>
      <c r="BC27" s="28"/>
      <c r="BD27" s="28"/>
      <c r="BE27" s="28"/>
      <c r="BF27" s="78"/>
      <c r="BG27" s="28"/>
      <c r="BH27" s="28"/>
      <c r="BI27" s="28"/>
      <c r="BJ27" s="28"/>
      <c r="BK27" s="28"/>
      <c r="BL27" s="28"/>
      <c r="BM27" s="28"/>
      <c r="BQ27" s="14" t="s">
        <v>95</v>
      </c>
      <c r="BR27" s="14" t="str">
        <f t="shared" si="12"/>
        <v>Klamo Mário</v>
      </c>
      <c r="BS27" s="14">
        <v>1995</v>
      </c>
      <c r="BT27" s="14" t="s">
        <v>87</v>
      </c>
      <c r="BU27" s="1">
        <v>21</v>
      </c>
    </row>
    <row r="28" spans="1:73" ht="15.75">
      <c r="A28" s="79">
        <f t="shared" si="8"/>
        <v>23</v>
      </c>
      <c r="B28" s="80">
        <f t="shared" si="1"/>
        <v>55</v>
      </c>
      <c r="C28" s="81">
        <f t="shared" si="2"/>
        <v>55</v>
      </c>
      <c r="D28" s="82" t="s">
        <v>39</v>
      </c>
      <c r="E28" s="84">
        <v>35607</v>
      </c>
      <c r="F28" s="85" t="s">
        <v>0</v>
      </c>
      <c r="G28" s="86">
        <v>20</v>
      </c>
      <c r="H28" s="82">
        <v>20</v>
      </c>
      <c r="I28" s="87">
        <f>20+15</f>
        <v>35</v>
      </c>
      <c r="J28" s="88"/>
      <c r="K28" s="89"/>
      <c r="L28" s="90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3"/>
      <c r="AK28" s="93"/>
      <c r="AL28" s="93"/>
      <c r="AM28" s="94"/>
      <c r="AN28" s="95">
        <f t="shared" si="3"/>
        <v>55</v>
      </c>
      <c r="AO28" s="28">
        <f t="shared" si="4"/>
        <v>0</v>
      </c>
      <c r="AP28" s="28"/>
      <c r="AQ28" s="28">
        <f t="shared" si="9"/>
        <v>55</v>
      </c>
      <c r="AR28" s="215" t="str">
        <f t="shared" si="10"/>
        <v>Sulejman Michael</v>
      </c>
      <c r="AS28" s="215">
        <f t="shared" si="5"/>
        <v>1997</v>
      </c>
      <c r="AT28" s="215" t="str">
        <f t="shared" si="6"/>
        <v>Bielenisko</v>
      </c>
      <c r="AU28">
        <f t="shared" si="11"/>
        <v>23</v>
      </c>
      <c r="AW28" s="77">
        <f t="shared" si="7"/>
        <v>35607</v>
      </c>
      <c r="AZ28" s="78"/>
      <c r="BA28" s="28"/>
      <c r="BB28" s="28"/>
      <c r="BC28" s="28"/>
      <c r="BD28" s="28"/>
      <c r="BE28" s="28"/>
      <c r="BF28" s="78"/>
      <c r="BG28" s="28"/>
      <c r="BH28" s="28"/>
      <c r="BI28" s="28"/>
      <c r="BJ28" s="28"/>
      <c r="BK28" s="28"/>
      <c r="BL28" s="28"/>
      <c r="BM28" s="28"/>
      <c r="BQ28" s="14" t="s">
        <v>214</v>
      </c>
      <c r="BR28" s="14" t="str">
        <f t="shared" si="12"/>
        <v>Petrovič Michal</v>
      </c>
      <c r="BS28" s="14">
        <v>1995</v>
      </c>
      <c r="BT28" s="14" t="s">
        <v>55</v>
      </c>
      <c r="BU28" s="1">
        <v>21</v>
      </c>
    </row>
    <row r="29" spans="1:73" ht="15.75">
      <c r="A29" s="79">
        <f t="shared" si="8"/>
        <v>24</v>
      </c>
      <c r="B29" s="80">
        <f t="shared" si="1"/>
        <v>51</v>
      </c>
      <c r="C29" s="81">
        <f t="shared" si="2"/>
        <v>51</v>
      </c>
      <c r="D29" s="82" t="s">
        <v>158</v>
      </c>
      <c r="E29" s="84">
        <v>35476</v>
      </c>
      <c r="F29" s="85" t="s">
        <v>145</v>
      </c>
      <c r="G29" s="86">
        <v>15</v>
      </c>
      <c r="H29" s="82">
        <v>15</v>
      </c>
      <c r="I29" s="87">
        <f>20+16</f>
        <v>36</v>
      </c>
      <c r="J29" s="88"/>
      <c r="K29" s="89"/>
      <c r="L29" s="90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3"/>
      <c r="AK29" s="93"/>
      <c r="AL29" s="93"/>
      <c r="AM29" s="94"/>
      <c r="AN29" s="95">
        <f t="shared" si="3"/>
        <v>51</v>
      </c>
      <c r="AO29" s="28">
        <f t="shared" si="4"/>
        <v>0</v>
      </c>
      <c r="AP29" s="28"/>
      <c r="AQ29" s="28">
        <f t="shared" si="9"/>
        <v>51</v>
      </c>
      <c r="AR29" s="215" t="str">
        <f t="shared" si="10"/>
        <v>Vojtek Ľubomír</v>
      </c>
      <c r="AS29" s="215">
        <f t="shared" si="5"/>
        <v>1997</v>
      </c>
      <c r="AT29" s="215" t="str">
        <f t="shared" si="6"/>
        <v>Orešie</v>
      </c>
      <c r="AU29">
        <f t="shared" si="11"/>
        <v>24</v>
      </c>
      <c r="AW29" s="77">
        <f t="shared" si="7"/>
        <v>35476</v>
      </c>
      <c r="AZ29" s="78"/>
      <c r="BA29" s="28"/>
      <c r="BB29" s="28"/>
      <c r="BC29" s="28"/>
      <c r="BD29" s="28"/>
      <c r="BE29" s="28"/>
      <c r="BF29" s="78"/>
      <c r="BG29" s="28"/>
      <c r="BH29" s="28"/>
      <c r="BI29" s="28"/>
      <c r="BJ29" s="28"/>
      <c r="BK29" s="28"/>
      <c r="BL29" s="28"/>
      <c r="BM29" s="28"/>
      <c r="BQ29" s="14" t="s">
        <v>215</v>
      </c>
      <c r="BR29" s="14" t="str">
        <f t="shared" si="12"/>
        <v>Cibula Ondrej</v>
      </c>
      <c r="BS29" s="14">
        <v>1995</v>
      </c>
      <c r="BT29" s="14" t="s">
        <v>55</v>
      </c>
      <c r="BU29" s="1">
        <v>23</v>
      </c>
    </row>
    <row r="30" spans="1:73" ht="15.75">
      <c r="A30" s="79">
        <f t="shared" si="8"/>
        <v>25</v>
      </c>
      <c r="B30" s="80">
        <f t="shared" si="1"/>
        <v>50</v>
      </c>
      <c r="C30" s="81">
        <f t="shared" si="2"/>
        <v>50</v>
      </c>
      <c r="D30" s="82" t="s">
        <v>150</v>
      </c>
      <c r="E30" s="84">
        <v>35615</v>
      </c>
      <c r="F30" s="85" t="s">
        <v>145</v>
      </c>
      <c r="G30" s="86">
        <v>16</v>
      </c>
      <c r="H30" s="82">
        <v>16</v>
      </c>
      <c r="I30" s="87">
        <f>20+14</f>
        <v>34</v>
      </c>
      <c r="J30" s="88"/>
      <c r="K30" s="89"/>
      <c r="L30" s="90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3"/>
      <c r="AK30" s="93"/>
      <c r="AL30" s="93"/>
      <c r="AM30" s="94"/>
      <c r="AN30" s="95">
        <f t="shared" si="3"/>
        <v>50</v>
      </c>
      <c r="AO30" s="28">
        <f t="shared" si="4"/>
        <v>0</v>
      </c>
      <c r="AP30" s="28"/>
      <c r="AQ30" s="28">
        <f t="shared" si="9"/>
        <v>50</v>
      </c>
      <c r="AR30" s="215" t="str">
        <f t="shared" si="10"/>
        <v>Rašla Lukáš</v>
      </c>
      <c r="AS30" s="215">
        <f t="shared" si="5"/>
        <v>1997</v>
      </c>
      <c r="AT30" s="215" t="str">
        <f t="shared" si="6"/>
        <v>Orešie</v>
      </c>
      <c r="AU30">
        <f t="shared" si="11"/>
        <v>25</v>
      </c>
      <c r="AW30" s="77">
        <f t="shared" si="7"/>
        <v>35615</v>
      </c>
      <c r="AZ30" s="78"/>
      <c r="BA30" s="28"/>
      <c r="BB30" s="28"/>
      <c r="BC30" s="28"/>
      <c r="BD30" s="28"/>
      <c r="BE30" s="28"/>
      <c r="BF30" s="78"/>
      <c r="BG30" s="28"/>
      <c r="BH30" s="28"/>
      <c r="BI30" s="28"/>
      <c r="BJ30" s="28"/>
      <c r="BK30" s="28"/>
      <c r="BL30" s="28"/>
      <c r="BM30" s="28"/>
      <c r="BQ30" s="14" t="s">
        <v>152</v>
      </c>
      <c r="BR30" s="14" t="str">
        <f t="shared" si="12"/>
        <v>Pleško Jakub</v>
      </c>
      <c r="BS30" s="14">
        <v>1996</v>
      </c>
      <c r="BT30" s="14" t="s">
        <v>145</v>
      </c>
      <c r="BU30" s="1">
        <v>23</v>
      </c>
    </row>
    <row r="31" spans="1:73" ht="15.75">
      <c r="A31" s="79">
        <f t="shared" si="8"/>
        <v>26</v>
      </c>
      <c r="B31" s="80">
        <f t="shared" si="1"/>
        <v>50</v>
      </c>
      <c r="C31" s="81">
        <f t="shared" si="2"/>
        <v>50</v>
      </c>
      <c r="D31" s="82" t="s">
        <v>28</v>
      </c>
      <c r="E31" s="84">
        <v>35414</v>
      </c>
      <c r="F31" s="85" t="s">
        <v>0</v>
      </c>
      <c r="G31" s="86">
        <v>15</v>
      </c>
      <c r="H31" s="82">
        <v>15</v>
      </c>
      <c r="I31" s="87">
        <f>20+15</f>
        <v>35</v>
      </c>
      <c r="J31" s="88"/>
      <c r="K31" s="89"/>
      <c r="L31" s="90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3"/>
      <c r="AK31" s="93"/>
      <c r="AL31" s="93"/>
      <c r="AM31" s="94"/>
      <c r="AN31" s="95">
        <f t="shared" si="3"/>
        <v>50</v>
      </c>
      <c r="AO31" s="28">
        <f t="shared" si="4"/>
        <v>0</v>
      </c>
      <c r="AP31" s="28"/>
      <c r="AQ31" s="28">
        <f t="shared" si="9"/>
        <v>50</v>
      </c>
      <c r="AR31" s="215" t="str">
        <f t="shared" si="10"/>
        <v>Sandtner Lukáš</v>
      </c>
      <c r="AS31" s="215">
        <f t="shared" si="5"/>
        <v>1996</v>
      </c>
      <c r="AT31" s="215" t="str">
        <f t="shared" si="6"/>
        <v>Bielenisko</v>
      </c>
      <c r="AU31">
        <f t="shared" si="11"/>
        <v>26</v>
      </c>
      <c r="AW31" s="77">
        <f t="shared" si="7"/>
        <v>35414</v>
      </c>
      <c r="AZ31" s="78"/>
      <c r="BA31" s="28"/>
      <c r="BB31" s="28"/>
      <c r="BC31" s="28"/>
      <c r="BD31" s="28"/>
      <c r="BE31" s="28"/>
      <c r="BF31" s="78"/>
      <c r="BG31" s="28"/>
      <c r="BH31" s="28"/>
      <c r="BI31" s="28"/>
      <c r="BJ31" s="28"/>
      <c r="BK31" s="28"/>
      <c r="BL31" s="28"/>
      <c r="BM31" s="28"/>
      <c r="BQ31" s="14" t="s">
        <v>216</v>
      </c>
      <c r="BR31" s="14" t="str">
        <f t="shared" si="12"/>
        <v>Kovalovský Ľuboš</v>
      </c>
      <c r="BS31" s="14">
        <v>1996</v>
      </c>
      <c r="BT31" s="14" t="s">
        <v>55</v>
      </c>
      <c r="BU31" s="1">
        <v>25</v>
      </c>
    </row>
    <row r="32" spans="1:73" ht="15.75">
      <c r="A32" s="79">
        <f t="shared" si="8"/>
        <v>27</v>
      </c>
      <c r="B32" s="80">
        <f t="shared" si="1"/>
        <v>53</v>
      </c>
      <c r="C32" s="81">
        <f t="shared" si="2"/>
        <v>49.8</v>
      </c>
      <c r="D32" s="98" t="s">
        <v>65</v>
      </c>
      <c r="E32" s="84">
        <v>34785</v>
      </c>
      <c r="F32" s="85" t="s">
        <v>55</v>
      </c>
      <c r="G32" s="86">
        <v>15</v>
      </c>
      <c r="H32" s="82">
        <v>15</v>
      </c>
      <c r="I32" s="87">
        <f>20+14</f>
        <v>34</v>
      </c>
      <c r="J32" s="88"/>
      <c r="K32" s="89"/>
      <c r="L32" s="90">
        <v>4</v>
      </c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3"/>
      <c r="AK32" s="93"/>
      <c r="AL32" s="93"/>
      <c r="AM32" s="94"/>
      <c r="AN32" s="95">
        <f t="shared" si="3"/>
        <v>53</v>
      </c>
      <c r="AO32" s="28">
        <f t="shared" si="4"/>
        <v>4</v>
      </c>
      <c r="AP32" s="28"/>
      <c r="AQ32" s="28">
        <f t="shared" si="9"/>
        <v>49.8</v>
      </c>
      <c r="AR32" s="215" t="str">
        <f t="shared" si="10"/>
        <v>Hanúsek Kevin</v>
      </c>
      <c r="AS32" s="215">
        <f t="shared" si="5"/>
        <v>1995</v>
      </c>
      <c r="AT32" s="215" t="str">
        <f t="shared" si="6"/>
        <v>Fándlyho</v>
      </c>
      <c r="AU32">
        <f t="shared" si="11"/>
        <v>27</v>
      </c>
      <c r="AW32" s="77">
        <f t="shared" si="7"/>
        <v>34785</v>
      </c>
      <c r="AZ32" s="78"/>
      <c r="BA32" s="28"/>
      <c r="BB32" s="28"/>
      <c r="BC32" s="28"/>
      <c r="BD32" s="28"/>
      <c r="BE32" s="28"/>
      <c r="BF32" s="78"/>
      <c r="BG32" s="28"/>
      <c r="BH32" s="28"/>
      <c r="BI32" s="28"/>
      <c r="BJ32" s="28"/>
      <c r="BK32" s="28"/>
      <c r="BL32" s="28"/>
      <c r="BM32" s="28"/>
      <c r="BQ32" s="14" t="s">
        <v>217</v>
      </c>
      <c r="BR32" s="14" t="str">
        <f t="shared" si="12"/>
        <v>Lomjaský Adam</v>
      </c>
      <c r="BS32" s="14">
        <v>1995</v>
      </c>
      <c r="BT32" s="14" t="s">
        <v>55</v>
      </c>
      <c r="BU32" s="1">
        <v>25</v>
      </c>
    </row>
    <row r="33" spans="1:73" ht="15.75">
      <c r="A33" s="79">
        <f t="shared" si="8"/>
        <v>28</v>
      </c>
      <c r="B33" s="80">
        <f t="shared" si="1"/>
        <v>52</v>
      </c>
      <c r="C33" s="81">
        <f t="shared" si="2"/>
        <v>48.8</v>
      </c>
      <c r="D33" s="82" t="s">
        <v>333</v>
      </c>
      <c r="E33" s="84">
        <v>34958</v>
      </c>
      <c r="F33" s="85" t="s">
        <v>55</v>
      </c>
      <c r="G33" s="86">
        <v>32</v>
      </c>
      <c r="H33" s="82">
        <v>32</v>
      </c>
      <c r="I33" s="87">
        <v>16</v>
      </c>
      <c r="J33" s="88"/>
      <c r="K33" s="89"/>
      <c r="L33" s="90">
        <v>4</v>
      </c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3"/>
      <c r="AK33" s="93"/>
      <c r="AL33" s="93"/>
      <c r="AM33" s="94"/>
      <c r="AN33" s="95">
        <f t="shared" si="3"/>
        <v>52</v>
      </c>
      <c r="AO33" s="28">
        <f t="shared" si="4"/>
        <v>4</v>
      </c>
      <c r="AP33" s="28"/>
      <c r="AQ33" s="28">
        <f t="shared" si="9"/>
        <v>48.8</v>
      </c>
      <c r="AR33" s="215" t="str">
        <f t="shared" si="10"/>
        <v>Lančarič Lukáš</v>
      </c>
      <c r="AS33" s="215">
        <f t="shared" si="5"/>
        <v>1995</v>
      </c>
      <c r="AT33" s="215" t="str">
        <f t="shared" si="6"/>
        <v>Fándlyho</v>
      </c>
      <c r="AU33">
        <f t="shared" si="11"/>
        <v>28</v>
      </c>
      <c r="AV33" s="96"/>
      <c r="AW33" s="77">
        <f t="shared" si="7"/>
        <v>34958</v>
      </c>
      <c r="BQ33" s="14" t="s">
        <v>113</v>
      </c>
      <c r="BR33" s="14" t="str">
        <f t="shared" si="12"/>
        <v>Murárik Marcel</v>
      </c>
      <c r="BS33" s="14">
        <v>1996</v>
      </c>
      <c r="BT33" s="14" t="s">
        <v>87</v>
      </c>
      <c r="BU33" s="1">
        <v>25</v>
      </c>
    </row>
    <row r="34" spans="1:73" ht="15.75">
      <c r="A34" s="79">
        <f t="shared" si="8"/>
        <v>29</v>
      </c>
      <c r="B34" s="80">
        <f t="shared" si="1"/>
        <v>44</v>
      </c>
      <c r="C34" s="81">
        <f t="shared" si="2"/>
        <v>40.8</v>
      </c>
      <c r="D34" s="82" t="s">
        <v>24</v>
      </c>
      <c r="E34" s="84">
        <v>35447</v>
      </c>
      <c r="F34" s="85" t="s">
        <v>0</v>
      </c>
      <c r="G34" s="86">
        <v>14</v>
      </c>
      <c r="H34" s="82"/>
      <c r="I34" s="87">
        <f>20+20</f>
        <v>40</v>
      </c>
      <c r="J34" s="88"/>
      <c r="K34" s="89"/>
      <c r="L34" s="90"/>
      <c r="M34" s="91"/>
      <c r="N34" s="91"/>
      <c r="O34" s="91">
        <v>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3"/>
      <c r="AK34" s="93"/>
      <c r="AL34" s="93"/>
      <c r="AM34" s="94"/>
      <c r="AN34" s="95">
        <f t="shared" si="3"/>
        <v>44</v>
      </c>
      <c r="AO34" s="28">
        <f t="shared" si="4"/>
        <v>4</v>
      </c>
      <c r="AP34" s="28"/>
      <c r="AQ34" s="28">
        <f t="shared" si="9"/>
        <v>40.8</v>
      </c>
      <c r="AR34" s="215" t="str">
        <f t="shared" si="10"/>
        <v>Kvak Václav</v>
      </c>
      <c r="AS34" s="215">
        <f t="shared" si="5"/>
        <v>1997</v>
      </c>
      <c r="AT34" s="215" t="str">
        <f t="shared" si="6"/>
        <v>Bielenisko</v>
      </c>
      <c r="AU34">
        <f t="shared" si="11"/>
        <v>29</v>
      </c>
      <c r="AV34" s="60"/>
      <c r="AW34" s="77">
        <f t="shared" si="7"/>
        <v>35447</v>
      </c>
      <c r="BQ34" s="14" t="s">
        <v>218</v>
      </c>
      <c r="BR34" s="14" t="str">
        <f t="shared" si="12"/>
        <v>Citerský Jakub</v>
      </c>
      <c r="BS34" s="14">
        <v>1994</v>
      </c>
      <c r="BT34" s="14" t="s">
        <v>55</v>
      </c>
      <c r="BU34" s="1">
        <v>28</v>
      </c>
    </row>
    <row r="35" spans="1:73" ht="15.75">
      <c r="A35" s="79">
        <f t="shared" si="8"/>
        <v>30</v>
      </c>
      <c r="B35" s="80">
        <f t="shared" si="1"/>
        <v>40</v>
      </c>
      <c r="C35" s="81">
        <f t="shared" si="2"/>
        <v>40</v>
      </c>
      <c r="D35" s="82" t="s">
        <v>154</v>
      </c>
      <c r="E35" s="84">
        <v>34987</v>
      </c>
      <c r="F35" s="85" t="s">
        <v>145</v>
      </c>
      <c r="G35" s="86">
        <v>20</v>
      </c>
      <c r="H35" s="82"/>
      <c r="I35" s="87">
        <f>20+20</f>
        <v>40</v>
      </c>
      <c r="J35" s="88"/>
      <c r="K35" s="107"/>
      <c r="L35" s="90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3"/>
      <c r="AK35" s="93"/>
      <c r="AL35" s="93"/>
      <c r="AM35" s="94"/>
      <c r="AN35" s="95">
        <f t="shared" si="3"/>
        <v>40</v>
      </c>
      <c r="AO35" s="28">
        <f t="shared" si="4"/>
        <v>0</v>
      </c>
      <c r="AP35" s="28"/>
      <c r="AQ35" s="28">
        <f t="shared" si="9"/>
        <v>40</v>
      </c>
      <c r="AR35" s="215" t="str">
        <f t="shared" si="10"/>
        <v>Hlavatovič Róbert</v>
      </c>
      <c r="AS35" s="215">
        <f t="shared" si="5"/>
        <v>1995</v>
      </c>
      <c r="AT35" s="215" t="str">
        <f t="shared" si="6"/>
        <v>Orešie</v>
      </c>
      <c r="AU35">
        <f t="shared" si="11"/>
        <v>30</v>
      </c>
      <c r="AV35" s="102"/>
      <c r="AW35" s="77">
        <f t="shared" si="7"/>
        <v>34987</v>
      </c>
      <c r="BQ35" s="14" t="s">
        <v>219</v>
      </c>
      <c r="BR35" s="14" t="str">
        <f t="shared" si="12"/>
        <v>Németh Tomáš</v>
      </c>
      <c r="BS35" s="14">
        <v>1994</v>
      </c>
      <c r="BT35" s="14" t="s">
        <v>87</v>
      </c>
      <c r="BU35" s="1">
        <v>28</v>
      </c>
    </row>
    <row r="36" spans="1:73" ht="15.75">
      <c r="A36" s="79">
        <f t="shared" si="8"/>
        <v>31</v>
      </c>
      <c r="B36" s="80">
        <f t="shared" si="1"/>
        <v>40</v>
      </c>
      <c r="C36" s="81">
        <f t="shared" si="2"/>
        <v>40</v>
      </c>
      <c r="D36" s="82" t="s">
        <v>81</v>
      </c>
      <c r="E36" s="84">
        <v>35469</v>
      </c>
      <c r="F36" s="85" t="s">
        <v>55</v>
      </c>
      <c r="G36" s="86">
        <v>20</v>
      </c>
      <c r="H36" s="82"/>
      <c r="I36" s="87">
        <f>20+20</f>
        <v>40</v>
      </c>
      <c r="J36" s="88"/>
      <c r="K36" s="89"/>
      <c r="L36" s="90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3"/>
      <c r="AK36" s="93"/>
      <c r="AL36" s="93"/>
      <c r="AM36" s="94"/>
      <c r="AN36" s="95">
        <f t="shared" si="3"/>
        <v>40</v>
      </c>
      <c r="AO36" s="28">
        <f t="shared" si="4"/>
        <v>0</v>
      </c>
      <c r="AP36" s="28"/>
      <c r="AQ36" s="28">
        <f t="shared" si="9"/>
        <v>40</v>
      </c>
      <c r="AR36" s="215" t="str">
        <f t="shared" si="10"/>
        <v>Ilka Július</v>
      </c>
      <c r="AS36" s="215">
        <f t="shared" si="5"/>
        <v>1997</v>
      </c>
      <c r="AT36" s="215" t="str">
        <f t="shared" si="6"/>
        <v>Fándlyho</v>
      </c>
      <c r="AU36">
        <f t="shared" si="11"/>
        <v>31</v>
      </c>
      <c r="AW36" s="77">
        <f t="shared" si="7"/>
        <v>35469</v>
      </c>
      <c r="BQ36" s="14" t="s">
        <v>156</v>
      </c>
      <c r="BR36" s="14" t="str">
        <f t="shared" si="12"/>
        <v>Forner Richard</v>
      </c>
      <c r="BS36" s="14">
        <v>1996</v>
      </c>
      <c r="BT36" s="14" t="s">
        <v>145</v>
      </c>
      <c r="BU36" s="1">
        <v>30</v>
      </c>
    </row>
    <row r="37" spans="1:73" ht="15.75">
      <c r="A37" s="79">
        <f t="shared" si="8"/>
        <v>32</v>
      </c>
      <c r="B37" s="80">
        <f t="shared" si="1"/>
        <v>40</v>
      </c>
      <c r="C37" s="81">
        <f t="shared" si="2"/>
        <v>40</v>
      </c>
      <c r="D37" s="82" t="s">
        <v>352</v>
      </c>
      <c r="E37" s="84">
        <v>35558</v>
      </c>
      <c r="F37" s="85" t="s">
        <v>55</v>
      </c>
      <c r="G37" s="86">
        <v>20</v>
      </c>
      <c r="H37" s="82"/>
      <c r="I37" s="87">
        <f>20+20</f>
        <v>40</v>
      </c>
      <c r="J37" s="88"/>
      <c r="K37" s="89"/>
      <c r="L37" s="90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3"/>
      <c r="AK37" s="93"/>
      <c r="AL37" s="93"/>
      <c r="AM37" s="94"/>
      <c r="AN37" s="95">
        <f t="shared" si="3"/>
        <v>40</v>
      </c>
      <c r="AO37" s="28">
        <f t="shared" si="4"/>
        <v>0</v>
      </c>
      <c r="AP37" s="28"/>
      <c r="AQ37" s="28">
        <f t="shared" si="9"/>
        <v>40</v>
      </c>
      <c r="AR37" s="215" t="str">
        <f t="shared" si="10"/>
        <v>Grell Matej</v>
      </c>
      <c r="AS37" s="215">
        <f t="shared" si="5"/>
        <v>1997</v>
      </c>
      <c r="AT37" s="215" t="str">
        <f t="shared" si="6"/>
        <v>Fándlyho</v>
      </c>
      <c r="AU37">
        <f t="shared" si="11"/>
        <v>32</v>
      </c>
      <c r="AW37" s="77">
        <f t="shared" si="7"/>
        <v>35558</v>
      </c>
      <c r="BQ37" s="14" t="s">
        <v>155</v>
      </c>
      <c r="BR37" s="14" t="str">
        <f t="shared" si="12"/>
        <v>Mrózek Miroslav</v>
      </c>
      <c r="BS37" s="14">
        <v>1996</v>
      </c>
      <c r="BT37" s="14" t="s">
        <v>145</v>
      </c>
      <c r="BU37" s="1">
        <v>30</v>
      </c>
    </row>
    <row r="38" spans="1:73" ht="15.75">
      <c r="A38" s="79">
        <f t="shared" si="8"/>
        <v>33</v>
      </c>
      <c r="B38" s="80">
        <f t="shared" si="1"/>
        <v>37</v>
      </c>
      <c r="C38" s="81">
        <f aca="true" t="shared" si="13" ref="C38:C69">H38+I38+J38+AM38+AO38*$AO$1</f>
        <v>37</v>
      </c>
      <c r="D38" s="82" t="s">
        <v>336</v>
      </c>
      <c r="E38" s="84">
        <v>35279</v>
      </c>
      <c r="F38" s="85" t="s">
        <v>337</v>
      </c>
      <c r="G38" s="86">
        <v>15</v>
      </c>
      <c r="H38" s="82">
        <v>15</v>
      </c>
      <c r="I38" s="87">
        <f>20+2</f>
        <v>22</v>
      </c>
      <c r="J38" s="88"/>
      <c r="K38" s="89"/>
      <c r="L38" s="90"/>
      <c r="M38" s="91"/>
      <c r="N38" s="91"/>
      <c r="O38" s="91"/>
      <c r="P38" s="92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3"/>
      <c r="AK38" s="93"/>
      <c r="AL38" s="93"/>
      <c r="AM38" s="94"/>
      <c r="AN38" s="95">
        <f aca="true" t="shared" si="14" ref="AN38:AN69">SUM(H38:AM38)</f>
        <v>37</v>
      </c>
      <c r="AO38" s="28">
        <f aca="true" t="shared" si="15" ref="AO38:AO69">SUM(L38:AL38)</f>
        <v>0</v>
      </c>
      <c r="AP38" s="28"/>
      <c r="AQ38" s="28">
        <f t="shared" si="9"/>
        <v>37</v>
      </c>
      <c r="AR38" s="215" t="str">
        <f t="shared" si="10"/>
        <v>Križan Róbert</v>
      </c>
      <c r="AS38" s="215">
        <f t="shared" si="5"/>
        <v>1996</v>
      </c>
      <c r="AT38" s="215" t="str">
        <f t="shared" si="6"/>
        <v>Svätý Jur</v>
      </c>
      <c r="AU38">
        <f t="shared" si="11"/>
        <v>33</v>
      </c>
      <c r="AW38" s="77">
        <f t="shared" si="7"/>
        <v>35279</v>
      </c>
      <c r="BQ38" s="14" t="s">
        <v>153</v>
      </c>
      <c r="BR38" s="14" t="str">
        <f t="shared" si="12"/>
        <v>Olešanský Tibor</v>
      </c>
      <c r="BS38" s="14">
        <v>1996</v>
      </c>
      <c r="BT38" s="14" t="s">
        <v>145</v>
      </c>
      <c r="BU38" s="1">
        <v>30</v>
      </c>
    </row>
    <row r="39" spans="1:73" ht="15.75">
      <c r="A39" s="79">
        <f t="shared" si="8"/>
        <v>34</v>
      </c>
      <c r="B39" s="80">
        <f t="shared" si="1"/>
        <v>36</v>
      </c>
      <c r="C39" s="81">
        <f t="shared" si="13"/>
        <v>36</v>
      </c>
      <c r="D39" s="82" t="s">
        <v>85</v>
      </c>
      <c r="E39" s="84">
        <v>35783</v>
      </c>
      <c r="F39" s="85" t="s">
        <v>55</v>
      </c>
      <c r="G39" s="86">
        <v>20</v>
      </c>
      <c r="H39" s="82">
        <v>20</v>
      </c>
      <c r="I39" s="87">
        <v>16</v>
      </c>
      <c r="J39" s="88"/>
      <c r="K39" s="89"/>
      <c r="L39" s="90"/>
      <c r="M39" s="91"/>
      <c r="N39" s="91"/>
      <c r="O39" s="91"/>
      <c r="P39" s="91"/>
      <c r="Q39" s="92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3"/>
      <c r="AK39" s="93"/>
      <c r="AL39" s="93"/>
      <c r="AM39" s="94"/>
      <c r="AN39" s="95">
        <f t="shared" si="14"/>
        <v>36</v>
      </c>
      <c r="AO39" s="28">
        <f t="shared" si="15"/>
        <v>0</v>
      </c>
      <c r="AP39" s="28"/>
      <c r="AQ39" s="28">
        <f aca="true" t="shared" si="16" ref="AQ39:AQ70">C39</f>
        <v>36</v>
      </c>
      <c r="AR39" s="215" t="str">
        <f t="shared" si="10"/>
        <v>Bednárik Marek</v>
      </c>
      <c r="AS39" s="215">
        <f t="shared" si="5"/>
        <v>1997</v>
      </c>
      <c r="AT39" s="215" t="str">
        <f t="shared" si="6"/>
        <v>Fándlyho</v>
      </c>
      <c r="AU39">
        <f t="shared" si="11"/>
        <v>34</v>
      </c>
      <c r="AV39" s="102"/>
      <c r="AW39" s="77">
        <f t="shared" si="7"/>
        <v>35783</v>
      </c>
      <c r="BQ39" s="14" t="s">
        <v>220</v>
      </c>
      <c r="BR39" s="14" t="str">
        <f t="shared" si="12"/>
        <v>Feder Marek</v>
      </c>
      <c r="BS39" s="14">
        <v>1996</v>
      </c>
      <c r="BT39" s="14" t="s">
        <v>87</v>
      </c>
      <c r="BU39" s="1">
        <v>33</v>
      </c>
    </row>
    <row r="40" spans="1:73" ht="15.75">
      <c r="A40" s="79">
        <f t="shared" si="8"/>
        <v>35</v>
      </c>
      <c r="B40" s="80">
        <f t="shared" si="1"/>
        <v>36</v>
      </c>
      <c r="C40" s="81">
        <f t="shared" si="13"/>
        <v>36</v>
      </c>
      <c r="D40" s="82" t="s">
        <v>95</v>
      </c>
      <c r="E40" s="84">
        <v>35058</v>
      </c>
      <c r="F40" s="85" t="s">
        <v>87</v>
      </c>
      <c r="G40" s="86">
        <v>20</v>
      </c>
      <c r="H40" s="87">
        <v>20</v>
      </c>
      <c r="I40" s="87">
        <v>16</v>
      </c>
      <c r="J40" s="88"/>
      <c r="K40" s="89"/>
      <c r="L40" s="90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3"/>
      <c r="AK40" s="93"/>
      <c r="AL40" s="93"/>
      <c r="AM40" s="94"/>
      <c r="AN40" s="95">
        <f t="shared" si="14"/>
        <v>36</v>
      </c>
      <c r="AO40" s="28">
        <f t="shared" si="15"/>
        <v>0</v>
      </c>
      <c r="AP40" s="28"/>
      <c r="AQ40" s="28">
        <f t="shared" si="16"/>
        <v>36</v>
      </c>
      <c r="AR40" s="215" t="str">
        <f t="shared" si="10"/>
        <v>Klamo Mário</v>
      </c>
      <c r="AS40" s="215">
        <f t="shared" si="5"/>
        <v>1995</v>
      </c>
      <c r="AT40" s="215" t="str">
        <f t="shared" si="6"/>
        <v>Kupeckého</v>
      </c>
      <c r="AU40">
        <f t="shared" si="11"/>
        <v>35</v>
      </c>
      <c r="AV40" s="102"/>
      <c r="AW40" s="77">
        <f t="shared" si="7"/>
        <v>35058</v>
      </c>
      <c r="BQ40" s="14" t="s">
        <v>221</v>
      </c>
      <c r="BR40" s="14" t="str">
        <f t="shared" si="12"/>
        <v>Číž Adam</v>
      </c>
      <c r="BS40" s="14">
        <v>1996</v>
      </c>
      <c r="BT40" s="14" t="s">
        <v>87</v>
      </c>
      <c r="BU40" s="1">
        <v>33</v>
      </c>
    </row>
    <row r="41" spans="1:73" ht="15.75">
      <c r="A41" s="79">
        <f t="shared" si="8"/>
        <v>36</v>
      </c>
      <c r="B41" s="80">
        <f t="shared" si="1"/>
        <v>36</v>
      </c>
      <c r="C41" s="81">
        <f t="shared" si="13"/>
        <v>36</v>
      </c>
      <c r="D41" s="82" t="s">
        <v>96</v>
      </c>
      <c r="E41" s="84">
        <v>35341</v>
      </c>
      <c r="F41" s="85" t="s">
        <v>87</v>
      </c>
      <c r="G41" s="86">
        <v>20</v>
      </c>
      <c r="H41" s="82">
        <v>20</v>
      </c>
      <c r="I41" s="87">
        <v>16</v>
      </c>
      <c r="J41" s="88"/>
      <c r="K41" s="89"/>
      <c r="L41" s="90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3"/>
      <c r="AK41" s="93"/>
      <c r="AL41" s="93"/>
      <c r="AM41" s="94"/>
      <c r="AN41" s="95">
        <f t="shared" si="14"/>
        <v>36</v>
      </c>
      <c r="AO41" s="28">
        <f t="shared" si="15"/>
        <v>0</v>
      </c>
      <c r="AP41" s="28"/>
      <c r="AQ41" s="28">
        <f t="shared" si="16"/>
        <v>36</v>
      </c>
      <c r="AR41" s="215" t="str">
        <f t="shared" si="10"/>
        <v>Odkladal Filip</v>
      </c>
      <c r="AS41" s="215">
        <f t="shared" si="5"/>
        <v>1996</v>
      </c>
      <c r="AT41" s="215" t="str">
        <f t="shared" si="6"/>
        <v>Kupeckého</v>
      </c>
      <c r="AU41">
        <f t="shared" si="11"/>
        <v>36</v>
      </c>
      <c r="AW41" s="77">
        <f t="shared" si="7"/>
        <v>35341</v>
      </c>
      <c r="BQ41" s="14" t="s">
        <v>222</v>
      </c>
      <c r="BR41" s="14" t="str">
        <f t="shared" si="12"/>
        <v>Bőhm Samuel</v>
      </c>
      <c r="BS41" s="14">
        <v>1996</v>
      </c>
      <c r="BT41" s="14" t="s">
        <v>87</v>
      </c>
      <c r="BU41" s="1">
        <v>35</v>
      </c>
    </row>
    <row r="42" spans="1:73" ht="15.75">
      <c r="A42" s="79">
        <f t="shared" si="8"/>
        <v>37</v>
      </c>
      <c r="B42" s="80">
        <f t="shared" si="1"/>
        <v>36</v>
      </c>
      <c r="C42" s="81">
        <f t="shared" si="13"/>
        <v>36</v>
      </c>
      <c r="D42" s="82" t="s">
        <v>151</v>
      </c>
      <c r="E42" s="84">
        <v>35356</v>
      </c>
      <c r="F42" s="85" t="s">
        <v>145</v>
      </c>
      <c r="G42" s="86">
        <v>20</v>
      </c>
      <c r="H42" s="82">
        <v>20</v>
      </c>
      <c r="I42" s="87">
        <v>16</v>
      </c>
      <c r="J42" s="88"/>
      <c r="K42" s="89"/>
      <c r="L42" s="90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3"/>
      <c r="AK42" s="93"/>
      <c r="AL42" s="93"/>
      <c r="AM42" s="94"/>
      <c r="AN42" s="95">
        <f t="shared" si="14"/>
        <v>36</v>
      </c>
      <c r="AO42" s="28">
        <f t="shared" si="15"/>
        <v>0</v>
      </c>
      <c r="AP42" s="28"/>
      <c r="AQ42" s="28">
        <f t="shared" si="16"/>
        <v>36</v>
      </c>
      <c r="AR42" s="215" t="str">
        <f t="shared" si="10"/>
        <v>Stríž Richard</v>
      </c>
      <c r="AS42" s="215">
        <f t="shared" si="5"/>
        <v>1996</v>
      </c>
      <c r="AT42" s="215" t="str">
        <f t="shared" si="6"/>
        <v>Orešie</v>
      </c>
      <c r="AU42">
        <f t="shared" si="11"/>
        <v>37</v>
      </c>
      <c r="AW42" s="77">
        <f t="shared" si="7"/>
        <v>35356</v>
      </c>
      <c r="BQ42" s="14" t="s">
        <v>65</v>
      </c>
      <c r="BR42" s="14" t="str">
        <f t="shared" si="12"/>
        <v>Hanúsek Kevin</v>
      </c>
      <c r="BS42" s="14">
        <v>1995</v>
      </c>
      <c r="BT42" s="14" t="s">
        <v>55</v>
      </c>
      <c r="BU42" s="1">
        <v>35</v>
      </c>
    </row>
    <row r="43" spans="1:73" ht="15.75">
      <c r="A43" s="79">
        <f t="shared" si="8"/>
        <v>38</v>
      </c>
      <c r="B43" s="80">
        <f t="shared" si="1"/>
        <v>36</v>
      </c>
      <c r="C43" s="81">
        <f t="shared" si="13"/>
        <v>36</v>
      </c>
      <c r="D43" s="82" t="s">
        <v>334</v>
      </c>
      <c r="E43" s="84">
        <v>35308</v>
      </c>
      <c r="F43" s="85" t="s">
        <v>55</v>
      </c>
      <c r="G43" s="86">
        <v>20</v>
      </c>
      <c r="H43" s="82">
        <v>20</v>
      </c>
      <c r="I43" s="87">
        <v>16</v>
      </c>
      <c r="J43" s="88"/>
      <c r="K43" s="89"/>
      <c r="L43" s="90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3"/>
      <c r="AK43" s="93"/>
      <c r="AL43" s="93"/>
      <c r="AM43" s="94"/>
      <c r="AN43" s="95">
        <f t="shared" si="14"/>
        <v>36</v>
      </c>
      <c r="AO43" s="28">
        <f t="shared" si="15"/>
        <v>0</v>
      </c>
      <c r="AP43" s="28"/>
      <c r="AQ43" s="28">
        <f t="shared" si="16"/>
        <v>36</v>
      </c>
      <c r="AR43" s="215" t="str">
        <f t="shared" si="10"/>
        <v>Vlčko Martin</v>
      </c>
      <c r="AS43" s="215">
        <f t="shared" si="5"/>
        <v>1996</v>
      </c>
      <c r="AT43" s="215" t="str">
        <f t="shared" si="6"/>
        <v>Fándlyho</v>
      </c>
      <c r="AU43">
        <f t="shared" si="11"/>
        <v>38</v>
      </c>
      <c r="AV43" s="96"/>
      <c r="AW43" s="77">
        <f t="shared" si="7"/>
        <v>35308</v>
      </c>
      <c r="BQ43" s="14" t="s">
        <v>223</v>
      </c>
      <c r="BR43" s="14" t="str">
        <f t="shared" si="12"/>
        <v>Okládal Filip</v>
      </c>
      <c r="BS43" s="14">
        <v>1996</v>
      </c>
      <c r="BT43" s="14" t="s">
        <v>87</v>
      </c>
      <c r="BU43" s="1">
        <v>35</v>
      </c>
    </row>
    <row r="44" spans="1:73" ht="15.75">
      <c r="A44" s="79">
        <f t="shared" si="8"/>
        <v>39</v>
      </c>
      <c r="B44" s="80"/>
      <c r="C44" s="81">
        <f t="shared" si="13"/>
        <v>35</v>
      </c>
      <c r="D44" s="82" t="s">
        <v>138</v>
      </c>
      <c r="E44" s="84">
        <v>33890</v>
      </c>
      <c r="F44" s="85" t="s">
        <v>126</v>
      </c>
      <c r="G44" s="86">
        <v>20</v>
      </c>
      <c r="H44" s="82"/>
      <c r="I44" s="87">
        <f>20+15</f>
        <v>35</v>
      </c>
      <c r="J44" s="88"/>
      <c r="K44" s="89"/>
      <c r="L44" s="90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3"/>
      <c r="AK44" s="93"/>
      <c r="AL44" s="93"/>
      <c r="AM44" s="108"/>
      <c r="AN44" s="95">
        <f t="shared" si="14"/>
        <v>35</v>
      </c>
      <c r="AO44" s="28">
        <f t="shared" si="15"/>
        <v>0</v>
      </c>
      <c r="AP44" s="28"/>
      <c r="AQ44" s="28">
        <f t="shared" si="16"/>
        <v>35</v>
      </c>
      <c r="AR44" s="215" t="str">
        <f t="shared" si="10"/>
        <v>Hámor Lukáš</v>
      </c>
      <c r="AS44" s="215">
        <f aca="true" t="shared" si="17" ref="AS44:AS60">YEAR(AW44)</f>
        <v>1992</v>
      </c>
      <c r="AT44" s="215" t="str">
        <f aca="true" t="shared" si="18" ref="AT44:AT60">F44</f>
        <v>Gymnázium</v>
      </c>
      <c r="AU44">
        <f t="shared" si="11"/>
        <v>39</v>
      </c>
      <c r="AV44" s="96"/>
      <c r="AW44" s="77">
        <f aca="true" t="shared" si="19" ref="AW44:AW60">E44</f>
        <v>33890</v>
      </c>
      <c r="BQ44" s="14" t="s">
        <v>224</v>
      </c>
      <c r="BR44" s="14" t="str">
        <f t="shared" si="12"/>
        <v>Púpava Matej</v>
      </c>
      <c r="BS44" s="14">
        <v>1995</v>
      </c>
      <c r="BT44" s="14" t="s">
        <v>55</v>
      </c>
      <c r="BU44" s="1">
        <v>38</v>
      </c>
    </row>
    <row r="45" spans="1:73" ht="15.75">
      <c r="A45" s="79">
        <f t="shared" si="8"/>
        <v>40</v>
      </c>
      <c r="B45" s="80"/>
      <c r="C45" s="81">
        <f t="shared" si="13"/>
        <v>32</v>
      </c>
      <c r="D45" s="82" t="s">
        <v>38</v>
      </c>
      <c r="E45" s="84">
        <v>35259</v>
      </c>
      <c r="F45" s="85" t="s">
        <v>0</v>
      </c>
      <c r="G45" s="86">
        <v>16</v>
      </c>
      <c r="H45" s="82">
        <v>16</v>
      </c>
      <c r="I45" s="87">
        <v>16</v>
      </c>
      <c r="J45" s="88"/>
      <c r="K45" s="89"/>
      <c r="L45" s="90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3"/>
      <c r="AK45" s="93"/>
      <c r="AL45" s="93"/>
      <c r="AM45" s="94"/>
      <c r="AN45" s="95">
        <f t="shared" si="14"/>
        <v>32</v>
      </c>
      <c r="AO45" s="28">
        <f t="shared" si="15"/>
        <v>0</v>
      </c>
      <c r="AP45" s="28"/>
      <c r="AQ45" s="28">
        <f t="shared" si="16"/>
        <v>32</v>
      </c>
      <c r="AR45" s="215" t="str">
        <f t="shared" si="10"/>
        <v>Kolenčík Mário </v>
      </c>
      <c r="AS45" s="215">
        <f t="shared" si="17"/>
        <v>1996</v>
      </c>
      <c r="AT45" s="215" t="str">
        <f t="shared" si="18"/>
        <v>Bielenisko</v>
      </c>
      <c r="AU45">
        <f t="shared" si="11"/>
        <v>40</v>
      </c>
      <c r="AV45" s="96"/>
      <c r="AW45" s="77">
        <f t="shared" si="19"/>
        <v>35259</v>
      </c>
      <c r="BQ45" s="14" t="s">
        <v>225</v>
      </c>
      <c r="BR45" s="14" t="str">
        <f t="shared" si="12"/>
        <v>Ižo Martin</v>
      </c>
      <c r="BS45" s="14">
        <v>1994</v>
      </c>
      <c r="BT45" s="14" t="s">
        <v>55</v>
      </c>
      <c r="BU45" s="1">
        <v>39</v>
      </c>
    </row>
    <row r="46" spans="1:73" ht="15.75">
      <c r="A46" s="79">
        <f t="shared" si="8"/>
        <v>41</v>
      </c>
      <c r="B46" s="80"/>
      <c r="C46" s="81">
        <f t="shared" si="13"/>
        <v>31</v>
      </c>
      <c r="D46" s="82" t="s">
        <v>156</v>
      </c>
      <c r="E46" s="84">
        <v>35216</v>
      </c>
      <c r="F46" s="85" t="s">
        <v>145</v>
      </c>
      <c r="G46" s="86">
        <v>15</v>
      </c>
      <c r="H46" s="87">
        <v>15</v>
      </c>
      <c r="I46" s="87">
        <v>16</v>
      </c>
      <c r="J46" s="88"/>
      <c r="K46" s="89"/>
      <c r="L46" s="90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3"/>
      <c r="AK46" s="93"/>
      <c r="AL46" s="93"/>
      <c r="AM46" s="94"/>
      <c r="AN46" s="95">
        <f t="shared" si="14"/>
        <v>31</v>
      </c>
      <c r="AO46" s="28">
        <f t="shared" si="15"/>
        <v>0</v>
      </c>
      <c r="AP46" s="28"/>
      <c r="AQ46" s="28">
        <f t="shared" si="16"/>
        <v>31</v>
      </c>
      <c r="AR46" s="215" t="str">
        <f t="shared" si="10"/>
        <v>Forner Richard</v>
      </c>
      <c r="AS46" s="215">
        <f t="shared" si="17"/>
        <v>1996</v>
      </c>
      <c r="AT46" s="215" t="str">
        <f t="shared" si="18"/>
        <v>Orešie</v>
      </c>
      <c r="AU46">
        <f t="shared" si="11"/>
        <v>41</v>
      </c>
      <c r="AV46" s="96"/>
      <c r="AW46" s="77">
        <f t="shared" si="19"/>
        <v>35216</v>
      </c>
      <c r="BQ46" s="14" t="s">
        <v>226</v>
      </c>
      <c r="BR46" s="14" t="str">
        <f t="shared" si="12"/>
        <v>Klačanský Martin</v>
      </c>
      <c r="BS46" s="14">
        <v>1996</v>
      </c>
      <c r="BT46" s="14" t="s">
        <v>87</v>
      </c>
      <c r="BU46" s="1">
        <v>39</v>
      </c>
    </row>
    <row r="47" spans="1:73" ht="15.75">
      <c r="A47" s="79">
        <f t="shared" si="8"/>
        <v>42</v>
      </c>
      <c r="B47" s="80"/>
      <c r="C47" s="81">
        <f t="shared" si="13"/>
        <v>31</v>
      </c>
      <c r="D47" s="82" t="s">
        <v>149</v>
      </c>
      <c r="E47" s="84">
        <v>35709</v>
      </c>
      <c r="F47" s="85" t="s">
        <v>145</v>
      </c>
      <c r="G47" s="86">
        <v>15</v>
      </c>
      <c r="H47" s="82">
        <v>15</v>
      </c>
      <c r="I47" s="87">
        <v>16</v>
      </c>
      <c r="J47" s="88"/>
      <c r="K47" s="89"/>
      <c r="L47" s="90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3"/>
      <c r="AK47" s="93"/>
      <c r="AL47" s="93"/>
      <c r="AM47" s="94"/>
      <c r="AN47" s="95">
        <f t="shared" si="14"/>
        <v>31</v>
      </c>
      <c r="AO47" s="28">
        <f t="shared" si="15"/>
        <v>0</v>
      </c>
      <c r="AP47" s="28"/>
      <c r="AQ47" s="28">
        <f t="shared" si="16"/>
        <v>31</v>
      </c>
      <c r="AR47" s="215" t="str">
        <f t="shared" si="10"/>
        <v>Mlynek Michal</v>
      </c>
      <c r="AS47" s="215">
        <f t="shared" si="17"/>
        <v>1997</v>
      </c>
      <c r="AT47" s="215" t="str">
        <f t="shared" si="18"/>
        <v>Orešie</v>
      </c>
      <c r="AU47">
        <f t="shared" si="11"/>
        <v>42</v>
      </c>
      <c r="AV47" s="96"/>
      <c r="AW47" s="77">
        <f t="shared" si="19"/>
        <v>35709</v>
      </c>
      <c r="BQ47" s="14" t="s">
        <v>227</v>
      </c>
      <c r="BR47" s="14" t="str">
        <f t="shared" si="12"/>
        <v>Královič Jakub</v>
      </c>
      <c r="BS47" s="14">
        <v>1995</v>
      </c>
      <c r="BT47" s="14" t="s">
        <v>87</v>
      </c>
      <c r="BU47" s="1">
        <v>39</v>
      </c>
    </row>
    <row r="48" spans="1:73" ht="15.75">
      <c r="A48" s="79">
        <f t="shared" si="8"/>
        <v>43</v>
      </c>
      <c r="B48" s="80"/>
      <c r="C48" s="81">
        <f t="shared" si="13"/>
        <v>31</v>
      </c>
      <c r="D48" s="82" t="s">
        <v>155</v>
      </c>
      <c r="E48" s="84">
        <v>35121</v>
      </c>
      <c r="F48" s="85" t="s">
        <v>145</v>
      </c>
      <c r="G48" s="86">
        <v>15</v>
      </c>
      <c r="H48" s="82">
        <v>15</v>
      </c>
      <c r="I48" s="87">
        <v>16</v>
      </c>
      <c r="J48" s="88"/>
      <c r="K48" s="89"/>
      <c r="L48" s="90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3"/>
      <c r="AK48" s="93"/>
      <c r="AL48" s="93"/>
      <c r="AM48" s="94"/>
      <c r="AN48" s="95">
        <f t="shared" si="14"/>
        <v>31</v>
      </c>
      <c r="AO48" s="28">
        <f t="shared" si="15"/>
        <v>0</v>
      </c>
      <c r="AP48" s="28"/>
      <c r="AQ48" s="28">
        <f t="shared" si="16"/>
        <v>31</v>
      </c>
      <c r="AR48" s="215" t="str">
        <f t="shared" si="10"/>
        <v>Mrózek Miroslav</v>
      </c>
      <c r="AS48" s="215">
        <f t="shared" si="17"/>
        <v>1996</v>
      </c>
      <c r="AT48" s="215" t="str">
        <f t="shared" si="18"/>
        <v>Orešie</v>
      </c>
      <c r="AU48">
        <f t="shared" si="11"/>
        <v>43</v>
      </c>
      <c r="AV48" s="96"/>
      <c r="AW48" s="77">
        <f t="shared" si="19"/>
        <v>35121</v>
      </c>
      <c r="BQ48" s="14" t="s">
        <v>228</v>
      </c>
      <c r="BR48" s="14" t="str">
        <f t="shared" si="12"/>
        <v>Kubáň Adam</v>
      </c>
      <c r="BS48" s="14">
        <v>1996</v>
      </c>
      <c r="BT48" s="14" t="s">
        <v>206</v>
      </c>
      <c r="BU48" s="1">
        <v>39</v>
      </c>
    </row>
    <row r="49" spans="1:73" ht="15.75">
      <c r="A49" s="79">
        <f t="shared" si="8"/>
        <v>44</v>
      </c>
      <c r="B49" s="80"/>
      <c r="C49" s="81">
        <f t="shared" si="13"/>
        <v>31</v>
      </c>
      <c r="D49" s="82" t="s">
        <v>338</v>
      </c>
      <c r="E49" s="84">
        <v>35566</v>
      </c>
      <c r="F49" s="85" t="s">
        <v>337</v>
      </c>
      <c r="G49" s="86">
        <v>15</v>
      </c>
      <c r="H49" s="82">
        <v>15</v>
      </c>
      <c r="I49" s="87">
        <v>16</v>
      </c>
      <c r="J49" s="88"/>
      <c r="K49" s="89"/>
      <c r="L49" s="90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3"/>
      <c r="AK49" s="93"/>
      <c r="AL49" s="93"/>
      <c r="AM49" s="94"/>
      <c r="AN49" s="95">
        <f t="shared" si="14"/>
        <v>31</v>
      </c>
      <c r="AO49" s="28">
        <f t="shared" si="15"/>
        <v>0</v>
      </c>
      <c r="AP49" s="28"/>
      <c r="AQ49" s="28">
        <f t="shared" si="16"/>
        <v>31</v>
      </c>
      <c r="AR49" s="215" t="str">
        <f t="shared" si="10"/>
        <v>Štefanovič Matúš</v>
      </c>
      <c r="AS49" s="215">
        <f t="shared" si="17"/>
        <v>1997</v>
      </c>
      <c r="AT49" s="215" t="str">
        <f t="shared" si="18"/>
        <v>Svätý Jur</v>
      </c>
      <c r="AU49">
        <f t="shared" si="11"/>
        <v>44</v>
      </c>
      <c r="AV49" s="96"/>
      <c r="AW49" s="77">
        <f t="shared" si="19"/>
        <v>35566</v>
      </c>
      <c r="BQ49" s="14" t="s">
        <v>229</v>
      </c>
      <c r="BR49" s="14" t="str">
        <f t="shared" si="12"/>
        <v>Benčurik Michal</v>
      </c>
      <c r="BS49" s="14">
        <v>1995</v>
      </c>
      <c r="BT49" s="14" t="s">
        <v>145</v>
      </c>
      <c r="BU49" s="1">
        <v>43</v>
      </c>
    </row>
    <row r="50" spans="1:73" ht="15.75">
      <c r="A50" s="79">
        <f t="shared" si="8"/>
        <v>45</v>
      </c>
      <c r="B50" s="80"/>
      <c r="C50" s="81">
        <f t="shared" si="13"/>
        <v>30</v>
      </c>
      <c r="D50" s="82" t="s">
        <v>152</v>
      </c>
      <c r="E50" s="84">
        <v>35314</v>
      </c>
      <c r="F50" s="85" t="s">
        <v>145</v>
      </c>
      <c r="G50" s="86">
        <v>14</v>
      </c>
      <c r="H50" s="82">
        <v>14</v>
      </c>
      <c r="I50" s="103">
        <v>16</v>
      </c>
      <c r="J50" s="104"/>
      <c r="K50" s="89"/>
      <c r="L50" s="105"/>
      <c r="M50" s="92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106"/>
      <c r="AK50" s="106"/>
      <c r="AL50" s="106"/>
      <c r="AM50" s="94"/>
      <c r="AN50" s="95">
        <f t="shared" si="14"/>
        <v>30</v>
      </c>
      <c r="AO50" s="28">
        <f t="shared" si="15"/>
        <v>0</v>
      </c>
      <c r="AP50" s="28"/>
      <c r="AQ50" s="28">
        <f t="shared" si="16"/>
        <v>30</v>
      </c>
      <c r="AR50" s="215" t="str">
        <f t="shared" si="10"/>
        <v>Pleško Jakub</v>
      </c>
      <c r="AS50" s="215">
        <f t="shared" si="17"/>
        <v>1996</v>
      </c>
      <c r="AT50" s="215" t="str">
        <f t="shared" si="18"/>
        <v>Orešie</v>
      </c>
      <c r="AU50">
        <f t="shared" si="11"/>
        <v>45</v>
      </c>
      <c r="AV50" s="96"/>
      <c r="AW50" s="77">
        <f t="shared" si="19"/>
        <v>35314</v>
      </c>
      <c r="BQ50" s="14" t="s">
        <v>230</v>
      </c>
      <c r="BR50" s="14" t="str">
        <f t="shared" si="12"/>
        <v>Horváth Ondrej</v>
      </c>
      <c r="BS50" s="14">
        <v>1995</v>
      </c>
      <c r="BT50" s="14" t="s">
        <v>126</v>
      </c>
      <c r="BU50" s="1">
        <v>43</v>
      </c>
    </row>
    <row r="51" spans="1:73" ht="15.75">
      <c r="A51" s="79">
        <f t="shared" si="8"/>
        <v>46</v>
      </c>
      <c r="B51" s="80"/>
      <c r="C51" s="81">
        <f t="shared" si="13"/>
        <v>30</v>
      </c>
      <c r="D51" s="82" t="s">
        <v>339</v>
      </c>
      <c r="E51" s="84">
        <v>35661</v>
      </c>
      <c r="F51" s="85" t="s">
        <v>0</v>
      </c>
      <c r="G51" s="86">
        <v>14</v>
      </c>
      <c r="H51" s="82">
        <v>14</v>
      </c>
      <c r="I51" s="87">
        <v>16</v>
      </c>
      <c r="J51" s="88"/>
      <c r="K51" s="89"/>
      <c r="L51" s="90"/>
      <c r="M51" s="91"/>
      <c r="N51" s="91"/>
      <c r="O51" s="91"/>
      <c r="P51" s="92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3"/>
      <c r="AK51" s="93"/>
      <c r="AL51" s="93"/>
      <c r="AM51" s="94"/>
      <c r="AN51" s="95">
        <f t="shared" si="14"/>
        <v>30</v>
      </c>
      <c r="AO51" s="28">
        <f t="shared" si="15"/>
        <v>0</v>
      </c>
      <c r="AP51" s="28"/>
      <c r="AQ51" s="28">
        <f t="shared" si="16"/>
        <v>30</v>
      </c>
      <c r="AR51" s="215" t="str">
        <f t="shared" si="10"/>
        <v>Vencel Michal</v>
      </c>
      <c r="AS51" s="215">
        <f t="shared" si="17"/>
        <v>1997</v>
      </c>
      <c r="AT51" s="215" t="str">
        <f t="shared" si="18"/>
        <v>Bielenisko</v>
      </c>
      <c r="AU51">
        <f t="shared" si="11"/>
        <v>46</v>
      </c>
      <c r="AV51" s="96"/>
      <c r="AW51" s="77">
        <f t="shared" si="19"/>
        <v>35661</v>
      </c>
      <c r="BQ51" s="14" t="s">
        <v>231</v>
      </c>
      <c r="BR51" s="14" t="str">
        <f t="shared" si="12"/>
        <v>Korček Jakub</v>
      </c>
      <c r="BS51" s="14">
        <v>1994</v>
      </c>
      <c r="BT51" s="14" t="s">
        <v>55</v>
      </c>
      <c r="BU51" s="1">
        <v>43</v>
      </c>
    </row>
    <row r="52" spans="1:73" ht="15.75">
      <c r="A52" s="79">
        <f t="shared" si="8"/>
        <v>47</v>
      </c>
      <c r="B52" s="80"/>
      <c r="C52" s="81">
        <f t="shared" si="13"/>
        <v>20</v>
      </c>
      <c r="D52" s="82" t="s">
        <v>66</v>
      </c>
      <c r="E52" s="84">
        <v>35153</v>
      </c>
      <c r="F52" s="85" t="s">
        <v>55</v>
      </c>
      <c r="G52" s="86">
        <v>20</v>
      </c>
      <c r="H52" s="87">
        <v>20</v>
      </c>
      <c r="I52" s="87"/>
      <c r="J52" s="88"/>
      <c r="K52" s="89"/>
      <c r="L52" s="90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3"/>
      <c r="AK52" s="93"/>
      <c r="AL52" s="93"/>
      <c r="AM52" s="94"/>
      <c r="AN52" s="95">
        <f t="shared" si="14"/>
        <v>20</v>
      </c>
      <c r="AO52" s="28">
        <f t="shared" si="15"/>
        <v>0</v>
      </c>
      <c r="AP52" s="28"/>
      <c r="AQ52" s="28">
        <f t="shared" si="16"/>
        <v>20</v>
      </c>
      <c r="AR52" s="215" t="str">
        <f t="shared" si="10"/>
        <v>Jančovič Lukáš</v>
      </c>
      <c r="AS52" s="215">
        <f t="shared" si="17"/>
        <v>1996</v>
      </c>
      <c r="AT52" s="215" t="str">
        <f t="shared" si="18"/>
        <v>Fándlyho</v>
      </c>
      <c r="AU52">
        <f t="shared" si="11"/>
        <v>47</v>
      </c>
      <c r="AV52" s="96"/>
      <c r="AW52" s="77">
        <f t="shared" si="19"/>
        <v>35153</v>
      </c>
      <c r="BQ52" s="14" t="s">
        <v>151</v>
      </c>
      <c r="BR52" s="14" t="str">
        <f t="shared" si="12"/>
        <v>Stríž Richard</v>
      </c>
      <c r="BS52" s="14">
        <v>1996</v>
      </c>
      <c r="BT52" s="14" t="s">
        <v>145</v>
      </c>
      <c r="BU52" s="1">
        <v>43</v>
      </c>
    </row>
    <row r="53" spans="1:73" ht="15.75">
      <c r="A53" s="79">
        <f t="shared" si="8"/>
        <v>48</v>
      </c>
      <c r="B53" s="80"/>
      <c r="C53" s="81">
        <f t="shared" si="13"/>
        <v>20</v>
      </c>
      <c r="D53" s="82" t="s">
        <v>35</v>
      </c>
      <c r="E53" s="84">
        <v>34944</v>
      </c>
      <c r="F53" s="85" t="s">
        <v>0</v>
      </c>
      <c r="G53" s="86">
        <v>20</v>
      </c>
      <c r="H53" s="82">
        <v>20</v>
      </c>
      <c r="I53" s="87"/>
      <c r="J53" s="88"/>
      <c r="K53" s="89"/>
      <c r="L53" s="90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3"/>
      <c r="AK53" s="93"/>
      <c r="AL53" s="93"/>
      <c r="AM53" s="94"/>
      <c r="AN53" s="95">
        <f t="shared" si="14"/>
        <v>20</v>
      </c>
      <c r="AO53" s="28">
        <f t="shared" si="15"/>
        <v>0</v>
      </c>
      <c r="AP53" s="28"/>
      <c r="AQ53" s="28">
        <f t="shared" si="16"/>
        <v>20</v>
      </c>
      <c r="AR53" s="215" t="str">
        <f t="shared" si="10"/>
        <v>Kica Daniel</v>
      </c>
      <c r="AS53" s="215">
        <f t="shared" si="17"/>
        <v>1995</v>
      </c>
      <c r="AT53" s="215" t="str">
        <f t="shared" si="18"/>
        <v>Bielenisko</v>
      </c>
      <c r="AU53">
        <f t="shared" si="11"/>
        <v>48</v>
      </c>
      <c r="AV53" s="96"/>
      <c r="AW53" s="77">
        <f t="shared" si="19"/>
        <v>34944</v>
      </c>
      <c r="BQ53" s="14" t="s">
        <v>66</v>
      </c>
      <c r="BR53" s="14" t="str">
        <f t="shared" si="12"/>
        <v>Jančovič Lukáš</v>
      </c>
      <c r="BS53" s="14">
        <v>1996</v>
      </c>
      <c r="BT53" s="14" t="s">
        <v>55</v>
      </c>
      <c r="BU53" s="1">
        <v>47</v>
      </c>
    </row>
    <row r="54" spans="1:73" ht="15.75">
      <c r="A54" s="79">
        <f t="shared" si="8"/>
        <v>49</v>
      </c>
      <c r="B54" s="80"/>
      <c r="C54" s="81">
        <f t="shared" si="13"/>
        <v>20</v>
      </c>
      <c r="D54" s="82" t="s">
        <v>90</v>
      </c>
      <c r="E54" s="84">
        <v>35779</v>
      </c>
      <c r="F54" s="85" t="s">
        <v>87</v>
      </c>
      <c r="G54" s="86">
        <v>20</v>
      </c>
      <c r="H54" s="82">
        <v>20</v>
      </c>
      <c r="I54" s="87"/>
      <c r="J54" s="88"/>
      <c r="K54" s="89"/>
      <c r="L54" s="90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3"/>
      <c r="AK54" s="93"/>
      <c r="AL54" s="93"/>
      <c r="AM54" s="94"/>
      <c r="AN54" s="95">
        <f t="shared" si="14"/>
        <v>20</v>
      </c>
      <c r="AO54" s="28">
        <f t="shared" si="15"/>
        <v>0</v>
      </c>
      <c r="AP54" s="28"/>
      <c r="AQ54" s="28">
        <f t="shared" si="16"/>
        <v>20</v>
      </c>
      <c r="AR54" s="215" t="str">
        <f t="shared" si="10"/>
        <v>Malý Maroš</v>
      </c>
      <c r="AS54" s="215">
        <f t="shared" si="17"/>
        <v>1997</v>
      </c>
      <c r="AT54" s="215" t="str">
        <f t="shared" si="18"/>
        <v>Kupeckého</v>
      </c>
      <c r="AU54">
        <f t="shared" si="11"/>
        <v>49</v>
      </c>
      <c r="AV54" s="96"/>
      <c r="AW54" s="77">
        <f t="shared" si="19"/>
        <v>35779</v>
      </c>
      <c r="BQ54" s="14" t="s">
        <v>232</v>
      </c>
      <c r="BR54" s="14" t="str">
        <f t="shared" si="12"/>
        <v>Kolenčík Marian</v>
      </c>
      <c r="BS54" s="14">
        <v>1900</v>
      </c>
      <c r="BT54" s="14" t="s">
        <v>0</v>
      </c>
      <c r="BU54" s="1">
        <v>47</v>
      </c>
    </row>
    <row r="55" spans="1:73" ht="15.75">
      <c r="A55" s="79">
        <f t="shared" si="8"/>
        <v>50</v>
      </c>
      <c r="B55" s="80"/>
      <c r="C55" s="81">
        <f t="shared" si="13"/>
        <v>20</v>
      </c>
      <c r="D55" s="82" t="s">
        <v>40</v>
      </c>
      <c r="E55" s="84">
        <v>35293</v>
      </c>
      <c r="F55" s="85" t="s">
        <v>0</v>
      </c>
      <c r="G55" s="86">
        <v>20</v>
      </c>
      <c r="H55" s="82">
        <v>20</v>
      </c>
      <c r="I55" s="87"/>
      <c r="J55" s="88"/>
      <c r="K55" s="89"/>
      <c r="L55" s="90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3"/>
      <c r="AK55" s="93"/>
      <c r="AL55" s="93"/>
      <c r="AM55" s="94"/>
      <c r="AN55" s="95">
        <f t="shared" si="14"/>
        <v>20</v>
      </c>
      <c r="AO55" s="28">
        <f t="shared" si="15"/>
        <v>0</v>
      </c>
      <c r="AP55" s="28"/>
      <c r="AQ55" s="28">
        <f t="shared" si="16"/>
        <v>20</v>
      </c>
      <c r="AR55" s="215" t="str">
        <f t="shared" si="10"/>
        <v>Slovák Natan</v>
      </c>
      <c r="AS55" s="215">
        <f t="shared" si="17"/>
        <v>1996</v>
      </c>
      <c r="AT55" s="215" t="str">
        <f t="shared" si="18"/>
        <v>Bielenisko</v>
      </c>
      <c r="AU55">
        <f t="shared" si="11"/>
        <v>50</v>
      </c>
      <c r="AV55" s="96"/>
      <c r="AW55" s="77">
        <f t="shared" si="19"/>
        <v>35293</v>
      </c>
      <c r="BQ55" s="14" t="s">
        <v>28</v>
      </c>
      <c r="BR55" s="14" t="str">
        <f t="shared" si="12"/>
        <v>Sandtner Lukáš</v>
      </c>
      <c r="BS55" s="14">
        <v>1996</v>
      </c>
      <c r="BT55" s="14" t="s">
        <v>0</v>
      </c>
      <c r="BU55" s="1">
        <v>47</v>
      </c>
    </row>
    <row r="56" spans="1:73" ht="15.75">
      <c r="A56" s="79">
        <f t="shared" si="8"/>
        <v>51</v>
      </c>
      <c r="B56" s="80"/>
      <c r="C56" s="81">
        <f t="shared" si="13"/>
        <v>20</v>
      </c>
      <c r="D56" s="82" t="s">
        <v>335</v>
      </c>
      <c r="E56" s="84">
        <v>35465</v>
      </c>
      <c r="F56" s="85" t="s">
        <v>145</v>
      </c>
      <c r="G56" s="86">
        <v>20</v>
      </c>
      <c r="H56" s="82">
        <v>20</v>
      </c>
      <c r="I56" s="87"/>
      <c r="J56" s="88"/>
      <c r="K56" s="89"/>
      <c r="L56" s="90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3"/>
      <c r="AK56" s="93"/>
      <c r="AL56" s="93"/>
      <c r="AM56" s="94"/>
      <c r="AN56" s="95">
        <f t="shared" si="14"/>
        <v>20</v>
      </c>
      <c r="AO56" s="28">
        <f t="shared" si="15"/>
        <v>0</v>
      </c>
      <c r="AP56" s="28"/>
      <c r="AQ56" s="28">
        <f t="shared" si="16"/>
        <v>20</v>
      </c>
      <c r="AR56" s="215" t="str">
        <f t="shared" si="10"/>
        <v>Sokolík Marek</v>
      </c>
      <c r="AS56" s="215">
        <f t="shared" si="17"/>
        <v>1997</v>
      </c>
      <c r="AT56" s="215" t="str">
        <f t="shared" si="18"/>
        <v>Orešie</v>
      </c>
      <c r="AU56">
        <f t="shared" si="11"/>
        <v>51</v>
      </c>
      <c r="AV56" s="96"/>
      <c r="AW56" s="77">
        <f t="shared" si="19"/>
        <v>35465</v>
      </c>
      <c r="BQ56" s="14" t="s">
        <v>233</v>
      </c>
      <c r="BR56" s="14" t="str">
        <f t="shared" si="12"/>
        <v>Berec Daniel</v>
      </c>
      <c r="BS56" s="14">
        <v>1996</v>
      </c>
      <c r="BT56" s="14" t="s">
        <v>0</v>
      </c>
      <c r="BU56" s="1">
        <v>50</v>
      </c>
    </row>
    <row r="57" spans="1:73" ht="15.75">
      <c r="A57" s="79">
        <f t="shared" si="8"/>
        <v>52</v>
      </c>
      <c r="B57" s="80"/>
      <c r="C57" s="81">
        <f t="shared" si="13"/>
        <v>20</v>
      </c>
      <c r="D57" s="98" t="s">
        <v>133</v>
      </c>
      <c r="E57" s="84">
        <v>35449</v>
      </c>
      <c r="F57" s="85" t="s">
        <v>126</v>
      </c>
      <c r="G57" s="86">
        <v>20</v>
      </c>
      <c r="H57" s="82">
        <v>20</v>
      </c>
      <c r="I57" s="87"/>
      <c r="J57" s="88"/>
      <c r="K57" s="89"/>
      <c r="L57" s="90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3"/>
      <c r="AK57" s="93"/>
      <c r="AL57" s="93"/>
      <c r="AM57" s="94"/>
      <c r="AN57" s="95">
        <f t="shared" si="14"/>
        <v>20</v>
      </c>
      <c r="AO57" s="28">
        <f t="shared" si="15"/>
        <v>0</v>
      </c>
      <c r="AP57" s="28"/>
      <c r="AQ57" s="28">
        <f t="shared" si="16"/>
        <v>20</v>
      </c>
      <c r="AR57" s="215" t="str">
        <f t="shared" si="10"/>
        <v>Šimo Jozef</v>
      </c>
      <c r="AS57" s="215">
        <f t="shared" si="17"/>
        <v>1997</v>
      </c>
      <c r="AT57" s="215" t="str">
        <f t="shared" si="18"/>
        <v>Gymnázium</v>
      </c>
      <c r="AU57">
        <f t="shared" si="11"/>
        <v>52</v>
      </c>
      <c r="AV57" s="96"/>
      <c r="AW57" s="77">
        <f t="shared" si="19"/>
        <v>35449</v>
      </c>
      <c r="BQ57" s="14" t="s">
        <v>234</v>
      </c>
      <c r="BR57" s="14" t="str">
        <f t="shared" si="12"/>
        <v>Honzík Filip</v>
      </c>
      <c r="BS57" s="14">
        <v>1996</v>
      </c>
      <c r="BT57" s="14" t="s">
        <v>54</v>
      </c>
      <c r="BU57" s="1">
        <v>50</v>
      </c>
    </row>
    <row r="58" spans="1:73" ht="15.75">
      <c r="A58" s="79">
        <f t="shared" si="8"/>
        <v>53</v>
      </c>
      <c r="B58" s="80"/>
      <c r="C58" s="81">
        <f t="shared" si="13"/>
        <v>16</v>
      </c>
      <c r="D58" s="82" t="s">
        <v>97</v>
      </c>
      <c r="E58" s="84">
        <v>35356</v>
      </c>
      <c r="F58" s="85" t="s">
        <v>87</v>
      </c>
      <c r="G58" s="86">
        <v>16</v>
      </c>
      <c r="H58" s="82">
        <v>16</v>
      </c>
      <c r="I58" s="87"/>
      <c r="J58" s="88"/>
      <c r="K58" s="89"/>
      <c r="L58" s="90"/>
      <c r="M58" s="91"/>
      <c r="N58" s="91"/>
      <c r="O58" s="91"/>
      <c r="P58" s="92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3"/>
      <c r="AK58" s="93"/>
      <c r="AL58" s="93"/>
      <c r="AM58" s="94"/>
      <c r="AN58" s="95">
        <f t="shared" si="14"/>
        <v>16</v>
      </c>
      <c r="AO58" s="28">
        <f t="shared" si="15"/>
        <v>0</v>
      </c>
      <c r="AP58" s="28"/>
      <c r="AQ58" s="28">
        <f t="shared" si="16"/>
        <v>16</v>
      </c>
      <c r="AR58" s="215" t="str">
        <f t="shared" si="10"/>
        <v>Maršo Martin</v>
      </c>
      <c r="AS58" s="215">
        <f t="shared" si="17"/>
        <v>1996</v>
      </c>
      <c r="AT58" s="215" t="str">
        <f t="shared" si="18"/>
        <v>Kupeckého</v>
      </c>
      <c r="AU58">
        <f t="shared" si="11"/>
        <v>53</v>
      </c>
      <c r="AV58" s="96"/>
      <c r="AW58" s="77">
        <f t="shared" si="19"/>
        <v>35356</v>
      </c>
      <c r="BQ58" s="14" t="s">
        <v>235</v>
      </c>
      <c r="BR58" s="14" t="str">
        <f t="shared" si="12"/>
        <v>Strnisko Kristián</v>
      </c>
      <c r="BS58" s="14">
        <v>1996</v>
      </c>
      <c r="BT58" s="14" t="s">
        <v>0</v>
      </c>
      <c r="BU58" s="1">
        <v>50</v>
      </c>
    </row>
    <row r="59" spans="1:73" ht="15.75">
      <c r="A59" s="79">
        <f t="shared" si="8"/>
        <v>54</v>
      </c>
      <c r="B59" s="80"/>
      <c r="C59" s="81">
        <f t="shared" si="13"/>
        <v>16</v>
      </c>
      <c r="D59" s="82" t="s">
        <v>244</v>
      </c>
      <c r="E59" s="84">
        <v>35361</v>
      </c>
      <c r="F59" s="85" t="s">
        <v>0</v>
      </c>
      <c r="G59" s="86">
        <v>16</v>
      </c>
      <c r="H59" s="82">
        <v>16</v>
      </c>
      <c r="I59" s="87"/>
      <c r="J59" s="88"/>
      <c r="K59" s="89"/>
      <c r="L59" s="90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3"/>
      <c r="AK59" s="93"/>
      <c r="AL59" s="93"/>
      <c r="AM59" s="94"/>
      <c r="AN59" s="95">
        <f t="shared" si="14"/>
        <v>16</v>
      </c>
      <c r="AO59" s="28">
        <f t="shared" si="15"/>
        <v>0</v>
      </c>
      <c r="AP59" s="28"/>
      <c r="AQ59" s="28">
        <f t="shared" si="16"/>
        <v>16</v>
      </c>
      <c r="AR59" s="215" t="str">
        <f t="shared" si="10"/>
        <v>Šmýkala Michal</v>
      </c>
      <c r="AS59" s="215">
        <f t="shared" si="17"/>
        <v>1996</v>
      </c>
      <c r="AT59" s="215" t="str">
        <f t="shared" si="18"/>
        <v>Bielenisko</v>
      </c>
      <c r="AU59">
        <f t="shared" si="11"/>
        <v>54</v>
      </c>
      <c r="AV59" s="96"/>
      <c r="AW59" s="77">
        <f t="shared" si="19"/>
        <v>35361</v>
      </c>
      <c r="BQ59" s="14" t="s">
        <v>154</v>
      </c>
      <c r="BR59" s="14" t="str">
        <f t="shared" si="12"/>
        <v>Hlavatovič Róbert</v>
      </c>
      <c r="BS59" s="14">
        <v>1995</v>
      </c>
      <c r="BT59" s="14" t="s">
        <v>145</v>
      </c>
      <c r="BU59" s="1">
        <v>53</v>
      </c>
    </row>
    <row r="60" spans="1:73" ht="15.75">
      <c r="A60" s="79">
        <f t="shared" si="8"/>
        <v>55</v>
      </c>
      <c r="B60" s="80">
        <f t="shared" si="1"/>
        <v>16</v>
      </c>
      <c r="C60" s="81">
        <f t="shared" si="13"/>
        <v>16</v>
      </c>
      <c r="D60" s="98" t="s">
        <v>353</v>
      </c>
      <c r="E60" s="84">
        <v>34898</v>
      </c>
      <c r="F60" s="85" t="s">
        <v>0</v>
      </c>
      <c r="G60" s="86">
        <v>16</v>
      </c>
      <c r="H60" s="82"/>
      <c r="I60" s="87">
        <v>16</v>
      </c>
      <c r="J60" s="88"/>
      <c r="K60" s="89"/>
      <c r="L60" s="90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3"/>
      <c r="AK60" s="93"/>
      <c r="AL60" s="93"/>
      <c r="AM60" s="94"/>
      <c r="AN60" s="95">
        <f t="shared" si="14"/>
        <v>16</v>
      </c>
      <c r="AO60" s="28">
        <f t="shared" si="15"/>
        <v>0</v>
      </c>
      <c r="AP60" s="28"/>
      <c r="AQ60" s="28">
        <f t="shared" si="16"/>
        <v>16</v>
      </c>
      <c r="AR60" s="215" t="str">
        <f t="shared" si="10"/>
        <v>Raček Tomáš</v>
      </c>
      <c r="AS60" s="215">
        <f t="shared" si="17"/>
        <v>1995</v>
      </c>
      <c r="AT60" s="215" t="str">
        <f t="shared" si="18"/>
        <v>Bielenisko</v>
      </c>
      <c r="AU60">
        <f t="shared" si="11"/>
        <v>55</v>
      </c>
      <c r="AV60" s="96"/>
      <c r="AW60" s="77">
        <f t="shared" si="19"/>
        <v>34898</v>
      </c>
      <c r="BQ60" s="14" t="s">
        <v>236</v>
      </c>
      <c r="BR60" s="14" t="str">
        <f t="shared" si="12"/>
        <v>Hubinský Dominik</v>
      </c>
      <c r="BS60" s="14">
        <v>1994</v>
      </c>
      <c r="BT60" s="14" t="s">
        <v>87</v>
      </c>
      <c r="BU60" s="1">
        <v>53</v>
      </c>
    </row>
    <row r="61" spans="1:73" ht="15.75">
      <c r="A61" s="79">
        <f t="shared" si="8"/>
        <v>56</v>
      </c>
      <c r="B61" s="80">
        <f t="shared" si="1"/>
        <v>15</v>
      </c>
      <c r="C61" s="81">
        <f t="shared" si="13"/>
        <v>15</v>
      </c>
      <c r="D61" s="82" t="s">
        <v>203</v>
      </c>
      <c r="E61" s="84">
        <v>35420</v>
      </c>
      <c r="F61" s="85" t="s">
        <v>87</v>
      </c>
      <c r="G61" s="86">
        <v>15</v>
      </c>
      <c r="H61" s="82">
        <v>15</v>
      </c>
      <c r="I61" s="87"/>
      <c r="J61" s="88"/>
      <c r="K61" s="89"/>
      <c r="L61" s="90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3"/>
      <c r="AK61" s="93"/>
      <c r="AL61" s="93"/>
      <c r="AM61" s="94"/>
      <c r="AN61" s="95">
        <f t="shared" si="14"/>
        <v>15</v>
      </c>
      <c r="AO61" s="28">
        <f t="shared" si="15"/>
        <v>0</v>
      </c>
      <c r="AP61" s="28"/>
      <c r="AQ61" s="28">
        <f t="shared" si="16"/>
        <v>15</v>
      </c>
      <c r="AR61" s="215" t="str">
        <f t="shared" si="10"/>
        <v>Böhm Samuel</v>
      </c>
      <c r="AS61" s="215">
        <f t="shared" si="5"/>
        <v>1996</v>
      </c>
      <c r="AT61" s="215" t="str">
        <f t="shared" si="6"/>
        <v>Kupeckého</v>
      </c>
      <c r="AU61">
        <f t="shared" si="11"/>
        <v>56</v>
      </c>
      <c r="AV61" s="102"/>
      <c r="AW61" s="77">
        <f t="shared" si="7"/>
        <v>35420</v>
      </c>
      <c r="BQ61" s="14" t="s">
        <v>35</v>
      </c>
      <c r="BR61" s="14" t="str">
        <f t="shared" si="12"/>
        <v>Kica Daniel</v>
      </c>
      <c r="BS61" s="14">
        <v>1995</v>
      </c>
      <c r="BT61" s="14" t="s">
        <v>0</v>
      </c>
      <c r="BU61" s="1">
        <v>53</v>
      </c>
    </row>
    <row r="62" spans="1:73" ht="15.75">
      <c r="A62" s="79">
        <f t="shared" si="8"/>
        <v>57</v>
      </c>
      <c r="B62" s="80">
        <f t="shared" si="1"/>
        <v>15</v>
      </c>
      <c r="C62" s="81">
        <f t="shared" si="13"/>
        <v>15</v>
      </c>
      <c r="D62" s="82" t="s">
        <v>129</v>
      </c>
      <c r="E62" s="84">
        <v>35537</v>
      </c>
      <c r="F62" s="85" t="s">
        <v>126</v>
      </c>
      <c r="G62" s="86">
        <v>15</v>
      </c>
      <c r="H62" s="82">
        <v>15</v>
      </c>
      <c r="I62" s="87"/>
      <c r="J62" s="88"/>
      <c r="K62" s="89"/>
      <c r="L62" s="90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3"/>
      <c r="AK62" s="93"/>
      <c r="AL62" s="93"/>
      <c r="AM62" s="94"/>
      <c r="AN62" s="95">
        <f t="shared" si="14"/>
        <v>15</v>
      </c>
      <c r="AO62" s="28">
        <f t="shared" si="15"/>
        <v>0</v>
      </c>
      <c r="AP62" s="28"/>
      <c r="AQ62" s="28">
        <f t="shared" si="16"/>
        <v>15</v>
      </c>
      <c r="AR62" s="215" t="str">
        <f t="shared" si="10"/>
        <v>Bulava Dávid</v>
      </c>
      <c r="AS62" s="215">
        <f t="shared" si="5"/>
        <v>1997</v>
      </c>
      <c r="AT62" s="215" t="str">
        <f t="shared" si="6"/>
        <v>Gymnázium</v>
      </c>
      <c r="AU62">
        <f t="shared" si="11"/>
        <v>57</v>
      </c>
      <c r="AW62" s="77">
        <f t="shared" si="7"/>
        <v>35537</v>
      </c>
      <c r="BQ62" s="14" t="s">
        <v>29</v>
      </c>
      <c r="BR62" s="14" t="str">
        <f t="shared" si="12"/>
        <v>Kočnár Jakub</v>
      </c>
      <c r="BS62" s="14">
        <v>1996</v>
      </c>
      <c r="BT62" s="14" t="s">
        <v>0</v>
      </c>
      <c r="BU62" s="1">
        <v>53</v>
      </c>
    </row>
    <row r="63" spans="1:73" ht="15.75">
      <c r="A63" s="79">
        <f t="shared" si="8"/>
        <v>58</v>
      </c>
      <c r="B63" s="80">
        <f t="shared" si="1"/>
        <v>15</v>
      </c>
      <c r="C63" s="81">
        <f t="shared" si="13"/>
        <v>15</v>
      </c>
      <c r="D63" s="82" t="s">
        <v>32</v>
      </c>
      <c r="E63" s="84">
        <v>35566</v>
      </c>
      <c r="F63" s="85" t="s">
        <v>0</v>
      </c>
      <c r="G63" s="86">
        <v>15</v>
      </c>
      <c r="H63" s="82">
        <v>15</v>
      </c>
      <c r="I63" s="87"/>
      <c r="J63" s="88"/>
      <c r="K63" s="89"/>
      <c r="L63" s="90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2"/>
      <c r="X63" s="92"/>
      <c r="Y63" s="91"/>
      <c r="Z63" s="91"/>
      <c r="AA63" s="91"/>
      <c r="AB63" s="91"/>
      <c r="AC63" s="91"/>
      <c r="AD63" s="92"/>
      <c r="AE63" s="91"/>
      <c r="AF63" s="91"/>
      <c r="AG63" s="91"/>
      <c r="AH63" s="91"/>
      <c r="AI63" s="91"/>
      <c r="AJ63" s="93"/>
      <c r="AK63" s="93"/>
      <c r="AL63" s="93"/>
      <c r="AM63" s="94"/>
      <c r="AN63" s="95">
        <f t="shared" si="14"/>
        <v>15</v>
      </c>
      <c r="AO63" s="28">
        <f t="shared" si="15"/>
        <v>0</v>
      </c>
      <c r="AP63" s="28"/>
      <c r="AQ63" s="28">
        <f t="shared" si="16"/>
        <v>15</v>
      </c>
      <c r="AR63" s="215" t="str">
        <f t="shared" si="10"/>
        <v>Cichý Peter</v>
      </c>
      <c r="AS63" s="215">
        <f t="shared" si="5"/>
        <v>1997</v>
      </c>
      <c r="AT63" s="215" t="str">
        <f t="shared" si="6"/>
        <v>Bielenisko</v>
      </c>
      <c r="AU63">
        <f t="shared" si="11"/>
        <v>58</v>
      </c>
      <c r="AW63" s="77">
        <f t="shared" si="7"/>
        <v>35566</v>
      </c>
      <c r="BQ63" s="14" t="s">
        <v>84</v>
      </c>
      <c r="BR63" s="14" t="str">
        <f t="shared" si="12"/>
        <v>Konečný Martin</v>
      </c>
      <c r="BS63" s="14">
        <v>1995</v>
      </c>
      <c r="BT63" s="14" t="s">
        <v>55</v>
      </c>
      <c r="BU63" s="1">
        <v>53</v>
      </c>
    </row>
    <row r="64" spans="1:73" ht="15.75">
      <c r="A64" s="79">
        <f t="shared" si="8"/>
        <v>59</v>
      </c>
      <c r="B64" s="80">
        <f t="shared" si="1"/>
        <v>15</v>
      </c>
      <c r="C64" s="81">
        <f t="shared" si="13"/>
        <v>15</v>
      </c>
      <c r="D64" s="82" t="s">
        <v>94</v>
      </c>
      <c r="E64" s="84">
        <v>35232</v>
      </c>
      <c r="F64" s="85" t="s">
        <v>87</v>
      </c>
      <c r="G64" s="86">
        <v>15</v>
      </c>
      <c r="H64" s="82">
        <v>15</v>
      </c>
      <c r="I64" s="87"/>
      <c r="J64" s="88"/>
      <c r="K64" s="89"/>
      <c r="L64" s="90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3"/>
      <c r="AK64" s="93"/>
      <c r="AL64" s="93"/>
      <c r="AM64" s="94"/>
      <c r="AN64" s="95">
        <f t="shared" si="14"/>
        <v>15</v>
      </c>
      <c r="AO64" s="28">
        <f t="shared" si="15"/>
        <v>0</v>
      </c>
      <c r="AP64" s="28"/>
      <c r="AQ64" s="28">
        <f t="shared" si="16"/>
        <v>15</v>
      </c>
      <c r="AR64" s="215" t="str">
        <f t="shared" si="10"/>
        <v>Daniš Dominik</v>
      </c>
      <c r="AS64" s="215">
        <f t="shared" si="5"/>
        <v>1996</v>
      </c>
      <c r="AT64" s="215" t="str">
        <f t="shared" si="6"/>
        <v>Kupeckého</v>
      </c>
      <c r="AU64">
        <f t="shared" si="11"/>
        <v>59</v>
      </c>
      <c r="AW64" s="77">
        <f t="shared" si="7"/>
        <v>35232</v>
      </c>
      <c r="BQ64" s="14" t="s">
        <v>237</v>
      </c>
      <c r="BR64" s="14" t="str">
        <f t="shared" si="12"/>
        <v>Lovič Michal</v>
      </c>
      <c r="BS64" s="14">
        <v>1996</v>
      </c>
      <c r="BT64" s="14" t="s">
        <v>55</v>
      </c>
      <c r="BU64" s="1">
        <v>53</v>
      </c>
    </row>
    <row r="65" spans="1:73" ht="15.75">
      <c r="A65" s="79">
        <f t="shared" si="8"/>
        <v>60</v>
      </c>
      <c r="B65" s="80">
        <f t="shared" si="1"/>
        <v>15</v>
      </c>
      <c r="C65" s="81">
        <f t="shared" si="13"/>
        <v>15</v>
      </c>
      <c r="D65" s="82" t="s">
        <v>130</v>
      </c>
      <c r="E65" s="84">
        <v>35369</v>
      </c>
      <c r="F65" s="85" t="s">
        <v>126</v>
      </c>
      <c r="G65" s="86">
        <v>15</v>
      </c>
      <c r="H65" s="82">
        <v>15</v>
      </c>
      <c r="I65" s="87"/>
      <c r="J65" s="88"/>
      <c r="K65" s="89"/>
      <c r="L65" s="90"/>
      <c r="M65" s="91"/>
      <c r="N65" s="91"/>
      <c r="O65" s="91"/>
      <c r="P65" s="92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3"/>
      <c r="AK65" s="93"/>
      <c r="AL65" s="93"/>
      <c r="AM65" s="94"/>
      <c r="AN65" s="95">
        <f t="shared" si="14"/>
        <v>15</v>
      </c>
      <c r="AO65" s="28">
        <f t="shared" si="15"/>
        <v>0</v>
      </c>
      <c r="AP65" s="28"/>
      <c r="AQ65" s="28">
        <f t="shared" si="16"/>
        <v>15</v>
      </c>
      <c r="AR65" s="215" t="str">
        <f t="shared" si="10"/>
        <v>Gaba Dávid</v>
      </c>
      <c r="AS65" s="215">
        <f t="shared" si="5"/>
        <v>1996</v>
      </c>
      <c r="AT65" s="215" t="str">
        <f t="shared" si="6"/>
        <v>Gymnázium</v>
      </c>
      <c r="AU65">
        <f t="shared" si="11"/>
        <v>60</v>
      </c>
      <c r="AV65" s="96"/>
      <c r="AW65" s="77">
        <f t="shared" si="7"/>
        <v>35369</v>
      </c>
      <c r="BQ65" s="14" t="s">
        <v>238</v>
      </c>
      <c r="BR65" s="14" t="str">
        <f t="shared" si="12"/>
        <v>Mlynek Eduard</v>
      </c>
      <c r="BS65" s="14">
        <v>1995</v>
      </c>
      <c r="BT65" s="14" t="s">
        <v>55</v>
      </c>
      <c r="BU65" s="1">
        <v>53</v>
      </c>
    </row>
    <row r="66" spans="1:73" ht="15.75">
      <c r="A66" s="79">
        <f t="shared" si="8"/>
        <v>61</v>
      </c>
      <c r="B66" s="80">
        <f t="shared" si="1"/>
        <v>15</v>
      </c>
      <c r="C66" s="81">
        <f t="shared" si="13"/>
        <v>15</v>
      </c>
      <c r="D66" s="82" t="s">
        <v>216</v>
      </c>
      <c r="E66" s="84">
        <v>35340</v>
      </c>
      <c r="F66" s="85" t="s">
        <v>55</v>
      </c>
      <c r="G66" s="86">
        <v>15</v>
      </c>
      <c r="H66" s="82">
        <v>15</v>
      </c>
      <c r="I66" s="87"/>
      <c r="J66" s="88"/>
      <c r="K66" s="89"/>
      <c r="L66" s="90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3"/>
      <c r="AK66" s="93"/>
      <c r="AL66" s="93"/>
      <c r="AM66" s="94"/>
      <c r="AN66" s="95">
        <f t="shared" si="14"/>
        <v>15</v>
      </c>
      <c r="AO66" s="28">
        <f t="shared" si="15"/>
        <v>0</v>
      </c>
      <c r="AP66" s="28"/>
      <c r="AQ66" s="28">
        <f t="shared" si="16"/>
        <v>15</v>
      </c>
      <c r="AR66" s="215" t="str">
        <f t="shared" si="10"/>
        <v>Kovalovský Ľuboš</v>
      </c>
      <c r="AS66" s="215">
        <f t="shared" si="5"/>
        <v>1996</v>
      </c>
      <c r="AT66" s="215" t="str">
        <f t="shared" si="6"/>
        <v>Fándlyho</v>
      </c>
      <c r="AU66">
        <f t="shared" si="11"/>
        <v>61</v>
      </c>
      <c r="AV66" s="96"/>
      <c r="AW66" s="77">
        <f t="shared" si="7"/>
        <v>35340</v>
      </c>
      <c r="BQ66" s="14" t="s">
        <v>239</v>
      </c>
      <c r="BR66" s="14" t="str">
        <f t="shared" si="12"/>
        <v>Useky Adam</v>
      </c>
      <c r="BS66" s="14">
        <v>1996</v>
      </c>
      <c r="BT66" s="14" t="s">
        <v>55</v>
      </c>
      <c r="BU66" s="1">
        <v>53</v>
      </c>
    </row>
    <row r="67" spans="1:73" ht="15.75">
      <c r="A67" s="79">
        <f t="shared" si="8"/>
        <v>62</v>
      </c>
      <c r="B67" s="80">
        <f t="shared" si="1"/>
        <v>15</v>
      </c>
      <c r="C67" s="81">
        <f t="shared" si="13"/>
        <v>15</v>
      </c>
      <c r="D67" s="82" t="s">
        <v>113</v>
      </c>
      <c r="E67" s="84">
        <v>35283</v>
      </c>
      <c r="F67" s="85" t="s">
        <v>87</v>
      </c>
      <c r="G67" s="86">
        <v>15</v>
      </c>
      <c r="H67" s="82">
        <v>15</v>
      </c>
      <c r="I67" s="87"/>
      <c r="J67" s="88"/>
      <c r="K67" s="89"/>
      <c r="L67" s="90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3"/>
      <c r="AK67" s="93"/>
      <c r="AL67" s="93"/>
      <c r="AM67" s="94"/>
      <c r="AN67" s="95">
        <f t="shared" si="14"/>
        <v>15</v>
      </c>
      <c r="AO67" s="28">
        <f t="shared" si="15"/>
        <v>0</v>
      </c>
      <c r="AP67" s="28"/>
      <c r="AQ67" s="28">
        <f t="shared" si="16"/>
        <v>15</v>
      </c>
      <c r="AR67" s="215" t="str">
        <f t="shared" si="10"/>
        <v>Murárik Marcel</v>
      </c>
      <c r="AS67" s="215">
        <f t="shared" si="5"/>
        <v>1996</v>
      </c>
      <c r="AT67" s="215" t="str">
        <f t="shared" si="6"/>
        <v>Kupeckého</v>
      </c>
      <c r="AU67">
        <f t="shared" si="11"/>
        <v>62</v>
      </c>
      <c r="AV67" s="102"/>
      <c r="AW67" s="77">
        <f t="shared" si="7"/>
        <v>35283</v>
      </c>
      <c r="BQ67" s="14" t="s">
        <v>240</v>
      </c>
      <c r="BR67" s="14" t="str">
        <f t="shared" si="12"/>
        <v>Oravec Michal</v>
      </c>
      <c r="BS67" s="14">
        <v>1995</v>
      </c>
      <c r="BT67" s="14" t="s">
        <v>55</v>
      </c>
      <c r="BU67" s="1">
        <v>61</v>
      </c>
    </row>
    <row r="68" spans="1:73" ht="15.75">
      <c r="A68" s="79">
        <f t="shared" si="8"/>
        <v>63</v>
      </c>
      <c r="B68" s="80">
        <f t="shared" si="1"/>
        <v>15</v>
      </c>
      <c r="C68" s="81">
        <f t="shared" si="13"/>
        <v>15</v>
      </c>
      <c r="D68" s="83" t="s">
        <v>153</v>
      </c>
      <c r="E68" s="109">
        <v>35138</v>
      </c>
      <c r="F68" s="164" t="s">
        <v>145</v>
      </c>
      <c r="G68" s="86">
        <v>15</v>
      </c>
      <c r="H68" s="82">
        <v>15</v>
      </c>
      <c r="I68" s="87"/>
      <c r="J68" s="88"/>
      <c r="K68" s="89"/>
      <c r="L68" s="90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3"/>
      <c r="AK68" s="93"/>
      <c r="AL68" s="93"/>
      <c r="AM68" s="94"/>
      <c r="AN68" s="95">
        <f t="shared" si="14"/>
        <v>15</v>
      </c>
      <c r="AO68" s="28">
        <f t="shared" si="15"/>
        <v>0</v>
      </c>
      <c r="AP68" s="28"/>
      <c r="AQ68" s="28">
        <f t="shared" si="16"/>
        <v>15</v>
      </c>
      <c r="AR68" s="215" t="str">
        <f t="shared" si="10"/>
        <v>Olešanský Tibor</v>
      </c>
      <c r="AS68" s="215">
        <f t="shared" si="5"/>
        <v>1996</v>
      </c>
      <c r="AT68" s="215" t="str">
        <f t="shared" si="6"/>
        <v>Orešie</v>
      </c>
      <c r="AU68">
        <f t="shared" si="11"/>
        <v>63</v>
      </c>
      <c r="AV68" s="102"/>
      <c r="AW68" s="77">
        <f t="shared" si="7"/>
        <v>35138</v>
      </c>
      <c r="BQ68" s="14" t="s">
        <v>241</v>
      </c>
      <c r="BR68" s="14" t="str">
        <f t="shared" si="12"/>
        <v>Gašparovič Lukáš</v>
      </c>
      <c r="BS68" s="14">
        <v>1995</v>
      </c>
      <c r="BT68" s="14" t="s">
        <v>87</v>
      </c>
      <c r="BU68" s="1">
        <v>61</v>
      </c>
    </row>
    <row r="69" spans="1:73" ht="15.75">
      <c r="A69" s="79">
        <f t="shared" si="8"/>
        <v>64</v>
      </c>
      <c r="B69" s="80">
        <f t="shared" si="1"/>
        <v>15</v>
      </c>
      <c r="C69" s="81">
        <f t="shared" si="13"/>
        <v>15</v>
      </c>
      <c r="D69" s="83" t="s">
        <v>148</v>
      </c>
      <c r="E69" s="109">
        <v>35435</v>
      </c>
      <c r="F69" s="164" t="s">
        <v>145</v>
      </c>
      <c r="G69" s="86">
        <v>15</v>
      </c>
      <c r="H69" s="82">
        <v>15</v>
      </c>
      <c r="I69" s="87"/>
      <c r="J69" s="88"/>
      <c r="K69" s="89"/>
      <c r="L69" s="90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3"/>
      <c r="AK69" s="93"/>
      <c r="AL69" s="93"/>
      <c r="AM69" s="94"/>
      <c r="AN69" s="95">
        <f t="shared" si="14"/>
        <v>15</v>
      </c>
      <c r="AO69" s="28">
        <f t="shared" si="15"/>
        <v>0</v>
      </c>
      <c r="AP69" s="28"/>
      <c r="AQ69" s="28">
        <f t="shared" si="16"/>
        <v>15</v>
      </c>
      <c r="AR69" s="215" t="str">
        <f t="shared" si="10"/>
        <v>Šmahovský Jakub</v>
      </c>
      <c r="AS69" s="215">
        <f t="shared" si="5"/>
        <v>1997</v>
      </c>
      <c r="AT69" s="215" t="str">
        <f t="shared" si="6"/>
        <v>Orešie</v>
      </c>
      <c r="AU69">
        <f t="shared" si="11"/>
        <v>64</v>
      </c>
      <c r="AV69" s="102"/>
      <c r="AW69" s="77">
        <f t="shared" si="7"/>
        <v>35435</v>
      </c>
      <c r="BQ69" s="14" t="s">
        <v>242</v>
      </c>
      <c r="BR69" s="14" t="str">
        <f t="shared" si="12"/>
        <v>Nejedlík Jakub</v>
      </c>
      <c r="BS69" s="14">
        <v>1996</v>
      </c>
      <c r="BT69" s="14" t="s">
        <v>55</v>
      </c>
      <c r="BU69" s="1">
        <v>61</v>
      </c>
    </row>
    <row r="70" spans="1:73" ht="15.75">
      <c r="A70" s="79">
        <f t="shared" si="8"/>
        <v>65</v>
      </c>
      <c r="B70" s="80">
        <f t="shared" si="1"/>
        <v>0</v>
      </c>
      <c r="C70" s="81">
        <f aca="true" t="shared" si="20" ref="C70:C77">H70+I70+J70+AM70+AO70*$AO$1</f>
        <v>0</v>
      </c>
      <c r="D70" s="223" t="s">
        <v>350</v>
      </c>
      <c r="E70" s="224">
        <v>35024</v>
      </c>
      <c r="F70" s="225" t="s">
        <v>348</v>
      </c>
      <c r="G70" s="228" t="s">
        <v>354</v>
      </c>
      <c r="H70" s="223"/>
      <c r="I70" s="229"/>
      <c r="J70" s="230"/>
      <c r="K70" s="231"/>
      <c r="L70" s="227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3"/>
      <c r="AK70" s="93"/>
      <c r="AL70" s="93"/>
      <c r="AM70" s="94"/>
      <c r="AN70" s="95">
        <f>SUM(H70:AM70)</f>
        <v>0</v>
      </c>
      <c r="AO70" s="28">
        <f>SUM(I70:AL70)</f>
        <v>0</v>
      </c>
      <c r="AP70" s="28"/>
      <c r="AQ70" s="28">
        <f t="shared" si="16"/>
        <v>0</v>
      </c>
      <c r="AR70" s="215" t="str">
        <f t="shared" si="10"/>
        <v>Korner Lukáš</v>
      </c>
      <c r="AS70" s="215">
        <f t="shared" si="5"/>
        <v>1995</v>
      </c>
      <c r="AT70" s="215" t="str">
        <f t="shared" si="6"/>
        <v>Fándlyho </v>
      </c>
      <c r="AU70">
        <f t="shared" si="11"/>
        <v>65</v>
      </c>
      <c r="AV70" s="78"/>
      <c r="AW70" s="77">
        <f t="shared" si="7"/>
        <v>35024</v>
      </c>
      <c r="BQ70" s="14" t="s">
        <v>243</v>
      </c>
      <c r="BR70" s="14" t="str">
        <f t="shared" si="12"/>
        <v>Sloboda Jakub</v>
      </c>
      <c r="BS70" s="14">
        <v>1994</v>
      </c>
      <c r="BT70" s="14" t="s">
        <v>55</v>
      </c>
      <c r="BU70" s="1">
        <v>61</v>
      </c>
    </row>
    <row r="71" spans="1:73" ht="15.75">
      <c r="A71" s="79">
        <f t="shared" si="8"/>
        <v>66</v>
      </c>
      <c r="B71" s="80">
        <f t="shared" si="1"/>
        <v>0</v>
      </c>
      <c r="C71" s="81">
        <f t="shared" si="20"/>
        <v>0</v>
      </c>
      <c r="D71" s="82" t="s">
        <v>111</v>
      </c>
      <c r="E71" s="84">
        <v>35693</v>
      </c>
      <c r="F71" s="85" t="s">
        <v>87</v>
      </c>
      <c r="G71" s="86"/>
      <c r="H71" s="82"/>
      <c r="I71" s="87"/>
      <c r="J71" s="88"/>
      <c r="K71" s="89"/>
      <c r="L71" s="90"/>
      <c r="M71" s="91"/>
      <c r="N71" s="91"/>
      <c r="O71" s="91"/>
      <c r="P71" s="91"/>
      <c r="Q71" s="91"/>
      <c r="R71" s="92"/>
      <c r="S71" s="92"/>
      <c r="T71" s="92"/>
      <c r="U71" s="91"/>
      <c r="V71" s="91"/>
      <c r="W71" s="91"/>
      <c r="X71" s="91"/>
      <c r="Y71" s="92"/>
      <c r="Z71" s="92"/>
      <c r="AA71" s="92"/>
      <c r="AB71" s="91"/>
      <c r="AC71" s="91"/>
      <c r="AD71" s="91"/>
      <c r="AE71" s="91"/>
      <c r="AF71" s="91"/>
      <c r="AG71" s="91"/>
      <c r="AH71" s="91"/>
      <c r="AI71" s="91"/>
      <c r="AJ71" s="93"/>
      <c r="AK71" s="93"/>
      <c r="AL71" s="93"/>
      <c r="AM71" s="94"/>
      <c r="AN71" s="95">
        <f>SUM(H71:AM71)</f>
        <v>0</v>
      </c>
      <c r="AO71" s="28">
        <f aca="true" t="shared" si="21" ref="AO71:AO77">SUM(L71:AL71)</f>
        <v>0</v>
      </c>
      <c r="AP71" s="28"/>
      <c r="AQ71" s="28">
        <f aca="true" t="shared" si="22" ref="AQ71:AQ77">C71</f>
        <v>0</v>
      </c>
      <c r="AR71" s="215" t="str">
        <f aca="true" t="shared" si="23" ref="AR71:AR134">D71</f>
        <v>Bagin Adam</v>
      </c>
      <c r="AS71" s="215">
        <f t="shared" si="5"/>
        <v>1997</v>
      </c>
      <c r="AT71" s="215" t="str">
        <f t="shared" si="6"/>
        <v>Kupeckého</v>
      </c>
      <c r="AU71">
        <f aca="true" t="shared" si="24" ref="AU71:AU134">A71</f>
        <v>66</v>
      </c>
      <c r="AW71" s="77">
        <f t="shared" si="7"/>
        <v>35693</v>
      </c>
      <c r="BQ71" s="14" t="s">
        <v>244</v>
      </c>
      <c r="BR71" s="14" t="str">
        <f t="shared" si="12"/>
        <v>Šmýkala Michal</v>
      </c>
      <c r="BS71" s="14">
        <v>1996</v>
      </c>
      <c r="BT71" s="14" t="s">
        <v>0</v>
      </c>
      <c r="BU71" s="1">
        <v>61</v>
      </c>
    </row>
    <row r="72" spans="1:73" ht="15.75">
      <c r="A72" s="79">
        <f t="shared" si="8"/>
        <v>67</v>
      </c>
      <c r="B72" s="80">
        <f t="shared" si="1"/>
        <v>0</v>
      </c>
      <c r="C72" s="81">
        <f t="shared" si="20"/>
        <v>0</v>
      </c>
      <c r="D72" s="82" t="s">
        <v>63</v>
      </c>
      <c r="E72" s="84">
        <v>34976</v>
      </c>
      <c r="F72" s="85" t="s">
        <v>55</v>
      </c>
      <c r="G72" s="86"/>
      <c r="H72" s="82"/>
      <c r="I72" s="87"/>
      <c r="J72" s="88"/>
      <c r="K72" s="89"/>
      <c r="L72" s="90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3"/>
      <c r="AK72" s="93"/>
      <c r="AL72" s="93"/>
      <c r="AM72" s="94"/>
      <c r="AN72" s="95">
        <f>SUM(H72:AM72)</f>
        <v>0</v>
      </c>
      <c r="AO72" s="28">
        <f t="shared" si="21"/>
        <v>0</v>
      </c>
      <c r="AP72" s="28"/>
      <c r="AQ72" s="28">
        <f t="shared" si="22"/>
        <v>0</v>
      </c>
      <c r="AR72" s="215" t="str">
        <f t="shared" si="23"/>
        <v>Čík Eduard</v>
      </c>
      <c r="AS72" s="215">
        <f t="shared" si="5"/>
        <v>1995</v>
      </c>
      <c r="AT72" s="215" t="str">
        <f t="shared" si="6"/>
        <v>Fándlyho</v>
      </c>
      <c r="AU72">
        <f t="shared" si="24"/>
        <v>67</v>
      </c>
      <c r="AW72" s="77">
        <f t="shared" si="7"/>
        <v>34976</v>
      </c>
      <c r="BQ72" s="14" t="s">
        <v>245</v>
      </c>
      <c r="BR72" s="14">
        <f aca="true" t="shared" si="25" ref="BR72:BR135">TRIM(BQ72)</f>
      </c>
      <c r="BS72" s="14">
        <v>1900</v>
      </c>
      <c r="BT72" s="14">
        <v>0</v>
      </c>
      <c r="BU72" s="1">
        <v>61</v>
      </c>
    </row>
    <row r="73" spans="1:73" ht="15.75">
      <c r="A73" s="79">
        <f t="shared" si="8"/>
        <v>68</v>
      </c>
      <c r="B73" s="80">
        <f t="shared" si="1"/>
        <v>0</v>
      </c>
      <c r="C73" s="81">
        <f t="shared" si="20"/>
        <v>0</v>
      </c>
      <c r="D73" s="82" t="s">
        <v>67</v>
      </c>
      <c r="E73" s="84">
        <v>35624</v>
      </c>
      <c r="F73" s="85" t="s">
        <v>55</v>
      </c>
      <c r="G73" s="86"/>
      <c r="H73" s="110"/>
      <c r="I73" s="111"/>
      <c r="J73" s="112"/>
      <c r="K73" s="113"/>
      <c r="L73" s="12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6"/>
      <c r="AK73" s="116"/>
      <c r="AL73" s="116"/>
      <c r="AM73" s="117"/>
      <c r="AN73" s="95">
        <f>SUM(H73:AM73)</f>
        <v>0</v>
      </c>
      <c r="AO73" s="28">
        <f t="shared" si="21"/>
        <v>0</v>
      </c>
      <c r="AP73" s="28"/>
      <c r="AQ73" s="28">
        <f t="shared" si="22"/>
        <v>0</v>
      </c>
      <c r="AR73" s="215" t="str">
        <f t="shared" si="23"/>
        <v>Domin Vladislav</v>
      </c>
      <c r="AS73" s="215">
        <f t="shared" si="5"/>
        <v>1997</v>
      </c>
      <c r="AT73" s="215" t="str">
        <f t="shared" si="6"/>
        <v>Fándlyho</v>
      </c>
      <c r="AU73">
        <f t="shared" si="24"/>
        <v>68</v>
      </c>
      <c r="AV73" s="96"/>
      <c r="AW73" s="77">
        <f t="shared" si="7"/>
        <v>35624</v>
      </c>
      <c r="BQ73" s="14" t="s">
        <v>245</v>
      </c>
      <c r="BR73" s="14">
        <f t="shared" si="25"/>
      </c>
      <c r="BS73" s="14">
        <v>1900</v>
      </c>
      <c r="BT73" s="14">
        <v>0</v>
      </c>
      <c r="BU73" s="1">
        <v>61</v>
      </c>
    </row>
    <row r="74" spans="1:73" ht="15.75">
      <c r="A74" s="79">
        <f t="shared" si="8"/>
        <v>69</v>
      </c>
      <c r="B74" s="80">
        <f t="shared" si="1"/>
        <v>0</v>
      </c>
      <c r="C74" s="81">
        <f t="shared" si="20"/>
        <v>0</v>
      </c>
      <c r="D74" s="98" t="s">
        <v>29</v>
      </c>
      <c r="E74" s="84">
        <v>35194</v>
      </c>
      <c r="F74" s="85" t="s">
        <v>0</v>
      </c>
      <c r="G74" s="86"/>
      <c r="H74" s="110"/>
      <c r="I74" s="111"/>
      <c r="J74" s="112"/>
      <c r="K74" s="113"/>
      <c r="L74" s="114"/>
      <c r="M74" s="115"/>
      <c r="N74" s="115"/>
      <c r="O74" s="115"/>
      <c r="P74" s="226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6"/>
      <c r="AK74" s="116"/>
      <c r="AL74" s="116"/>
      <c r="AM74" s="117"/>
      <c r="AN74" s="95">
        <f>SUM(H74:AM74)</f>
        <v>0</v>
      </c>
      <c r="AO74" s="28">
        <f t="shared" si="21"/>
        <v>0</v>
      </c>
      <c r="AP74" s="28"/>
      <c r="AQ74" s="28">
        <f t="shared" si="22"/>
        <v>0</v>
      </c>
      <c r="AR74" s="215" t="str">
        <f t="shared" si="23"/>
        <v>Kočnár Jakub</v>
      </c>
      <c r="AS74" s="215">
        <f t="shared" si="5"/>
        <v>1996</v>
      </c>
      <c r="AT74" s="215" t="str">
        <f t="shared" si="6"/>
        <v>Bielenisko</v>
      </c>
      <c r="AU74">
        <f t="shared" si="24"/>
        <v>69</v>
      </c>
      <c r="AV74" s="101"/>
      <c r="AW74" s="77">
        <f t="shared" si="7"/>
        <v>35194</v>
      </c>
      <c r="BQ74" s="14" t="s">
        <v>245</v>
      </c>
      <c r="BR74" s="14">
        <f t="shared" si="25"/>
      </c>
      <c r="BS74" s="14">
        <v>1900</v>
      </c>
      <c r="BT74" s="14">
        <v>0</v>
      </c>
      <c r="BU74" s="1">
        <v>61</v>
      </c>
    </row>
    <row r="75" spans="1:73" ht="15.75">
      <c r="A75" s="79">
        <f t="shared" si="8"/>
        <v>70</v>
      </c>
      <c r="B75" s="80">
        <f t="shared" si="1"/>
        <v>0</v>
      </c>
      <c r="C75" s="81">
        <f t="shared" si="20"/>
        <v>0</v>
      </c>
      <c r="D75" s="82" t="s">
        <v>92</v>
      </c>
      <c r="E75" s="84">
        <v>35759</v>
      </c>
      <c r="F75" s="85" t="s">
        <v>87</v>
      </c>
      <c r="G75" s="86"/>
      <c r="H75" s="111"/>
      <c r="I75" s="111"/>
      <c r="J75" s="112"/>
      <c r="K75" s="113"/>
      <c r="L75" s="114"/>
      <c r="M75" s="115"/>
      <c r="N75" s="115"/>
      <c r="O75" s="115"/>
      <c r="P75" s="226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6"/>
      <c r="AK75" s="116"/>
      <c r="AL75" s="116"/>
      <c r="AM75" s="117"/>
      <c r="AN75" s="95">
        <f>SUM(H75:AM75)</f>
        <v>0</v>
      </c>
      <c r="AO75" s="28">
        <f t="shared" si="21"/>
        <v>0</v>
      </c>
      <c r="AP75" s="28"/>
      <c r="AQ75" s="28">
        <f t="shared" si="22"/>
        <v>0</v>
      </c>
      <c r="AR75" s="215" t="str">
        <f t="shared" si="23"/>
        <v>Lacko Samuel</v>
      </c>
      <c r="AS75" s="215">
        <f t="shared" si="5"/>
        <v>1997</v>
      </c>
      <c r="AT75" s="215" t="str">
        <f t="shared" si="6"/>
        <v>Kupeckého</v>
      </c>
      <c r="AU75">
        <f t="shared" si="24"/>
        <v>70</v>
      </c>
      <c r="AV75" s="96"/>
      <c r="AW75" s="77">
        <f t="shared" si="7"/>
        <v>35759</v>
      </c>
      <c r="BQ75" s="14" t="s">
        <v>245</v>
      </c>
      <c r="BR75" s="14">
        <f t="shared" si="25"/>
      </c>
      <c r="BS75" s="14">
        <v>1900</v>
      </c>
      <c r="BT75" s="14">
        <v>0</v>
      </c>
      <c r="BU75" s="1">
        <v>61</v>
      </c>
    </row>
    <row r="76" spans="1:73" ht="15.75">
      <c r="A76" s="79">
        <f t="shared" si="8"/>
        <v>71</v>
      </c>
      <c r="B76" s="80">
        <f t="shared" si="1"/>
        <v>0</v>
      </c>
      <c r="C76" s="81">
        <f t="shared" si="20"/>
        <v>0</v>
      </c>
      <c r="D76" s="82" t="s">
        <v>112</v>
      </c>
      <c r="E76" s="84">
        <v>35608</v>
      </c>
      <c r="F76" s="85" t="s">
        <v>87</v>
      </c>
      <c r="G76" s="86"/>
      <c r="H76" s="110"/>
      <c r="I76" s="111"/>
      <c r="J76" s="112"/>
      <c r="K76" s="113"/>
      <c r="L76" s="114"/>
      <c r="M76" s="115"/>
      <c r="N76" s="226"/>
      <c r="O76" s="226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226"/>
      <c r="AC76" s="226"/>
      <c r="AD76" s="115"/>
      <c r="AE76" s="115"/>
      <c r="AF76" s="115"/>
      <c r="AG76" s="115"/>
      <c r="AH76" s="115"/>
      <c r="AI76" s="115"/>
      <c r="AJ76" s="116"/>
      <c r="AK76" s="116"/>
      <c r="AL76" s="116"/>
      <c r="AM76" s="117"/>
      <c r="AN76" s="95">
        <f>SUM(H76:AM76)</f>
        <v>0</v>
      </c>
      <c r="AO76" s="28">
        <f t="shared" si="21"/>
        <v>0</v>
      </c>
      <c r="AP76" s="28"/>
      <c r="AQ76" s="28">
        <f t="shared" si="22"/>
        <v>0</v>
      </c>
      <c r="AR76" s="215" t="str">
        <f t="shared" si="23"/>
        <v>Šagát Martin</v>
      </c>
      <c r="AS76" s="215">
        <f t="shared" si="5"/>
        <v>1997</v>
      </c>
      <c r="AT76" s="215" t="str">
        <f t="shared" si="6"/>
        <v>Kupeckého</v>
      </c>
      <c r="AU76">
        <f t="shared" si="24"/>
        <v>71</v>
      </c>
      <c r="AV76" s="102"/>
      <c r="AW76" s="77">
        <f t="shared" si="7"/>
        <v>35608</v>
      </c>
      <c r="BQ76" s="14" t="s">
        <v>245</v>
      </c>
      <c r="BR76" s="14">
        <f t="shared" si="25"/>
      </c>
      <c r="BS76" s="14">
        <v>1900</v>
      </c>
      <c r="BT76" s="14">
        <v>0</v>
      </c>
      <c r="BU76" s="1">
        <v>61</v>
      </c>
    </row>
    <row r="77" spans="1:73" ht="16.5" thickBot="1">
      <c r="A77" s="118">
        <f t="shared" si="8"/>
        <v>72</v>
      </c>
      <c r="B77" s="119">
        <f t="shared" si="1"/>
        <v>0</v>
      </c>
      <c r="C77" s="120">
        <f t="shared" si="20"/>
        <v>0</v>
      </c>
      <c r="D77" s="121"/>
      <c r="E77" s="123"/>
      <c r="F77" s="124"/>
      <c r="G77" s="125"/>
      <c r="H77" s="121"/>
      <c r="I77" s="126"/>
      <c r="J77" s="127"/>
      <c r="K77" s="128"/>
      <c r="L77" s="129"/>
      <c r="M77" s="130"/>
      <c r="N77" s="130"/>
      <c r="O77" s="130"/>
      <c r="P77" s="131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2"/>
      <c r="AK77" s="132"/>
      <c r="AL77" s="132"/>
      <c r="AM77" s="133"/>
      <c r="AN77" s="134">
        <f>SUM(H77:AM77)</f>
        <v>0</v>
      </c>
      <c r="AO77" s="28">
        <f t="shared" si="21"/>
        <v>0</v>
      </c>
      <c r="AP77" s="28"/>
      <c r="AQ77" s="28">
        <f t="shared" si="22"/>
        <v>0</v>
      </c>
      <c r="AR77" s="215">
        <f t="shared" si="23"/>
        <v>0</v>
      </c>
      <c r="AS77" s="215">
        <f t="shared" si="5"/>
        <v>1900</v>
      </c>
      <c r="AT77" s="215">
        <f t="shared" si="6"/>
        <v>0</v>
      </c>
      <c r="AU77">
        <f t="shared" si="24"/>
        <v>72</v>
      </c>
      <c r="AW77" s="77">
        <f t="shared" si="7"/>
        <v>0</v>
      </c>
      <c r="BQ77" s="14" t="s">
        <v>245</v>
      </c>
      <c r="BR77" s="14">
        <f t="shared" si="25"/>
      </c>
      <c r="BS77" s="14">
        <v>1900</v>
      </c>
      <c r="BT77" s="14">
        <v>0</v>
      </c>
      <c r="BU77" s="1">
        <v>61</v>
      </c>
    </row>
    <row r="78" spans="1:72" ht="15.75">
      <c r="A78" s="39"/>
      <c r="B78" s="37"/>
      <c r="C78" s="30"/>
      <c r="D78" s="135"/>
      <c r="E78" s="136"/>
      <c r="F78" s="137"/>
      <c r="G78" s="138"/>
      <c r="H78" s="139"/>
      <c r="I78" s="140"/>
      <c r="J78" s="139"/>
      <c r="K78" s="141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37"/>
      <c r="AK78" s="137"/>
      <c r="AL78" s="137"/>
      <c r="AM78" s="141"/>
      <c r="AN78" s="28"/>
      <c r="AO78" s="28">
        <f aca="true" t="shared" si="26" ref="AO78:AO85">SUM(L78:AL78)</f>
        <v>0</v>
      </c>
      <c r="AP78" s="28"/>
      <c r="AQ78" s="28">
        <f>C78</f>
        <v>0</v>
      </c>
      <c r="AR78" s="215">
        <f t="shared" si="23"/>
        <v>0</v>
      </c>
      <c r="AS78" s="215">
        <f t="shared" si="5"/>
        <v>1900</v>
      </c>
      <c r="AT78" s="215">
        <f t="shared" si="6"/>
        <v>0</v>
      </c>
      <c r="AU78">
        <f t="shared" si="24"/>
        <v>0</v>
      </c>
      <c r="AW78" s="77">
        <f t="shared" si="7"/>
        <v>0</v>
      </c>
      <c r="BQ78" s="14" t="s">
        <v>245</v>
      </c>
      <c r="BR78" s="14">
        <f t="shared" si="25"/>
      </c>
      <c r="BS78" s="14">
        <v>1900</v>
      </c>
      <c r="BT78" s="14">
        <v>0</v>
      </c>
    </row>
    <row r="79" spans="41:72" ht="15.75">
      <c r="AO79" s="28">
        <f t="shared" si="26"/>
        <v>0</v>
      </c>
      <c r="AP79" s="28"/>
      <c r="AQ79" s="28">
        <f>C79</f>
        <v>0</v>
      </c>
      <c r="AR79" s="215">
        <f t="shared" si="23"/>
        <v>0</v>
      </c>
      <c r="AS79" s="215">
        <f t="shared" si="5"/>
        <v>1900</v>
      </c>
      <c r="AT79" s="215">
        <f t="shared" si="6"/>
        <v>0</v>
      </c>
      <c r="AU79">
        <f t="shared" si="24"/>
        <v>0</v>
      </c>
      <c r="AW79" s="77">
        <f t="shared" si="7"/>
        <v>0</v>
      </c>
      <c r="BQ79" s="14" t="s">
        <v>245</v>
      </c>
      <c r="BR79" s="14">
        <f t="shared" si="25"/>
      </c>
      <c r="BS79" s="14">
        <v>1900</v>
      </c>
      <c r="BT79" s="14">
        <v>0</v>
      </c>
    </row>
    <row r="80" spans="41:72" ht="15.75">
      <c r="AO80" s="28">
        <f t="shared" si="26"/>
        <v>0</v>
      </c>
      <c r="AP80" s="28"/>
      <c r="AQ80" s="28">
        <f>C80</f>
        <v>0</v>
      </c>
      <c r="AR80" s="215">
        <f t="shared" si="23"/>
        <v>0</v>
      </c>
      <c r="AS80" s="215">
        <f t="shared" si="5"/>
        <v>1900</v>
      </c>
      <c r="AT80" s="215">
        <f t="shared" si="6"/>
        <v>0</v>
      </c>
      <c r="AU80">
        <f t="shared" si="24"/>
        <v>0</v>
      </c>
      <c r="AW80" s="77">
        <f t="shared" si="7"/>
        <v>0</v>
      </c>
      <c r="BQ80" s="14" t="s">
        <v>245</v>
      </c>
      <c r="BR80" s="14">
        <f t="shared" si="25"/>
      </c>
      <c r="BS80" s="14">
        <v>1900</v>
      </c>
      <c r="BT80" s="14">
        <v>0</v>
      </c>
    </row>
    <row r="81" spans="41:72" ht="15.75">
      <c r="AO81" s="28">
        <f t="shared" si="26"/>
        <v>0</v>
      </c>
      <c r="AP81" s="28"/>
      <c r="AQ81" s="28">
        <f>C81</f>
        <v>0</v>
      </c>
      <c r="AR81" s="215">
        <f t="shared" si="23"/>
        <v>0</v>
      </c>
      <c r="AS81" s="215">
        <f t="shared" si="5"/>
        <v>1900</v>
      </c>
      <c r="AT81" s="215">
        <f t="shared" si="6"/>
        <v>0</v>
      </c>
      <c r="AU81">
        <f t="shared" si="24"/>
        <v>0</v>
      </c>
      <c r="AW81" s="77">
        <f t="shared" si="7"/>
        <v>0</v>
      </c>
      <c r="BQ81" s="14" t="s">
        <v>245</v>
      </c>
      <c r="BR81" s="14">
        <f t="shared" si="25"/>
      </c>
      <c r="BS81" s="14">
        <v>1900</v>
      </c>
      <c r="BT81" s="14">
        <v>0</v>
      </c>
    </row>
    <row r="82" spans="41:72" ht="16.5" thickBot="1">
      <c r="AO82" s="28">
        <f t="shared" si="26"/>
        <v>0</v>
      </c>
      <c r="AP82" s="28"/>
      <c r="AQ82" s="28">
        <f>C82</f>
        <v>0</v>
      </c>
      <c r="AR82" s="215">
        <f t="shared" si="23"/>
        <v>0</v>
      </c>
      <c r="AS82" s="215">
        <f t="shared" si="5"/>
        <v>1900</v>
      </c>
      <c r="AT82" s="215">
        <f t="shared" si="6"/>
        <v>0</v>
      </c>
      <c r="AU82">
        <f t="shared" si="24"/>
        <v>0</v>
      </c>
      <c r="AW82" s="77">
        <f t="shared" si="7"/>
        <v>0</v>
      </c>
      <c r="BQ82" s="14" t="s">
        <v>245</v>
      </c>
      <c r="BR82" s="14">
        <f t="shared" si="25"/>
      </c>
      <c r="BS82" s="14">
        <v>1900</v>
      </c>
      <c r="BT82" s="14">
        <v>0</v>
      </c>
    </row>
    <row r="83" spans="1:72" ht="18.75" thickBot="1">
      <c r="A83" s="15" t="s">
        <v>143</v>
      </c>
      <c r="B83" s="16"/>
      <c r="C83" s="17"/>
      <c r="D83" s="18"/>
      <c r="E83" s="19"/>
      <c r="F83" s="18"/>
      <c r="G83" s="145"/>
      <c r="H83" s="22"/>
      <c r="I83" s="23"/>
      <c r="J83" s="24"/>
      <c r="L83" s="25"/>
      <c r="AO83" s="28">
        <f t="shared" si="26"/>
        <v>0</v>
      </c>
      <c r="AP83" s="28"/>
      <c r="AQ83" s="28">
        <f>C83</f>
        <v>0</v>
      </c>
      <c r="AR83" s="215">
        <f t="shared" si="23"/>
        <v>0</v>
      </c>
      <c r="AS83" s="215">
        <f t="shared" si="5"/>
        <v>1900</v>
      </c>
      <c r="AT83" s="215">
        <f t="shared" si="6"/>
        <v>0</v>
      </c>
      <c r="AU83" t="str">
        <f t="shared" si="24"/>
        <v>Mladší žiaci</v>
      </c>
      <c r="AW83" s="77">
        <f t="shared" si="7"/>
        <v>0</v>
      </c>
      <c r="BQ83" s="14" t="s">
        <v>245</v>
      </c>
      <c r="BR83" s="14">
        <f t="shared" si="25"/>
      </c>
      <c r="BS83" s="14">
        <v>1900</v>
      </c>
      <c r="BT83" s="14">
        <v>0</v>
      </c>
    </row>
    <row r="84" spans="1:72" ht="18.75" thickBot="1">
      <c r="A84" s="29"/>
      <c r="B84" s="27"/>
      <c r="C84" s="30"/>
      <c r="D84" s="26"/>
      <c r="E84" s="31"/>
      <c r="F84" s="32"/>
      <c r="G84" s="33" t="s">
        <v>166</v>
      </c>
      <c r="H84" s="34"/>
      <c r="I84" s="35"/>
      <c r="J84" s="36"/>
      <c r="K84" s="34"/>
      <c r="L84" s="245" t="s">
        <v>167</v>
      </c>
      <c r="M84" s="233"/>
      <c r="N84" s="233"/>
      <c r="O84" s="233"/>
      <c r="P84" s="233"/>
      <c r="Q84" s="233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5"/>
      <c r="AO84" s="28">
        <f t="shared" si="26"/>
        <v>0</v>
      </c>
      <c r="AP84" s="28"/>
      <c r="AQ84" s="28">
        <f>C84</f>
        <v>0</v>
      </c>
      <c r="AR84" s="215">
        <f t="shared" si="23"/>
        <v>0</v>
      </c>
      <c r="AS84" s="215">
        <f t="shared" si="5"/>
        <v>1900</v>
      </c>
      <c r="AT84" s="215">
        <f t="shared" si="6"/>
        <v>0</v>
      </c>
      <c r="AU84">
        <f t="shared" si="24"/>
        <v>0</v>
      </c>
      <c r="AW84" s="77">
        <f t="shared" si="7"/>
        <v>0</v>
      </c>
      <c r="BQ84" s="14" t="s">
        <v>245</v>
      </c>
      <c r="BR84" s="14">
        <f t="shared" si="25"/>
      </c>
      <c r="BS84" s="14">
        <v>1900</v>
      </c>
      <c r="BT84" s="14">
        <v>0</v>
      </c>
    </row>
    <row r="85" spans="1:72" ht="15.75" thickBot="1">
      <c r="A85" s="38"/>
      <c r="B85" s="236" t="s">
        <v>168</v>
      </c>
      <c r="C85" s="237"/>
      <c r="D85" s="39"/>
      <c r="E85" s="40"/>
      <c r="F85" s="32"/>
      <c r="G85" s="41" t="s">
        <v>169</v>
      </c>
      <c r="H85" s="238" t="s">
        <v>170</v>
      </c>
      <c r="I85" s="239"/>
      <c r="J85" s="240"/>
      <c r="K85" s="42"/>
      <c r="L85" s="246" t="s">
        <v>171</v>
      </c>
      <c r="M85" s="242"/>
      <c r="N85" s="242"/>
      <c r="O85" s="242"/>
      <c r="P85" s="242"/>
      <c r="Q85" s="242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4"/>
      <c r="AN85" s="146" t="s">
        <v>172</v>
      </c>
      <c r="AO85" s="28">
        <f t="shared" si="26"/>
        <v>0</v>
      </c>
      <c r="AP85" s="28"/>
      <c r="AQ85" s="28">
        <f>C85</f>
        <v>0</v>
      </c>
      <c r="AR85" s="215">
        <f t="shared" si="23"/>
        <v>0</v>
      </c>
      <c r="AS85" s="215">
        <f t="shared" si="5"/>
        <v>1900</v>
      </c>
      <c r="AT85" s="215">
        <f t="shared" si="6"/>
        <v>0</v>
      </c>
      <c r="AU85">
        <f t="shared" si="24"/>
        <v>0</v>
      </c>
      <c r="AW85" s="77">
        <f t="shared" si="7"/>
        <v>0</v>
      </c>
      <c r="BQ85" s="14" t="s">
        <v>245</v>
      </c>
      <c r="BR85" s="14">
        <f t="shared" si="25"/>
      </c>
      <c r="BS85" s="14">
        <v>1900</v>
      </c>
      <c r="BT85" s="14">
        <v>0</v>
      </c>
    </row>
    <row r="86" spans="1:72" ht="16.5" thickBot="1">
      <c r="A86" s="147" t="s">
        <v>173</v>
      </c>
      <c r="B86" s="46" t="s">
        <v>174</v>
      </c>
      <c r="C86" s="47" t="s">
        <v>30</v>
      </c>
      <c r="D86" s="48"/>
      <c r="E86" s="148"/>
      <c r="F86" s="149"/>
      <c r="G86" s="51"/>
      <c r="H86" s="52" t="s">
        <v>176</v>
      </c>
      <c r="I86" s="53" t="s">
        <v>177</v>
      </c>
      <c r="J86" s="54" t="s">
        <v>178</v>
      </c>
      <c r="K86" s="55" t="s">
        <v>179</v>
      </c>
      <c r="L86" s="56">
        <v>1</v>
      </c>
      <c r="M86" s="57">
        <v>2</v>
      </c>
      <c r="N86" s="57">
        <f aca="true" t="shared" si="27" ref="N86:AL86">M86+1</f>
        <v>3</v>
      </c>
      <c r="O86" s="57">
        <f t="shared" si="27"/>
        <v>4</v>
      </c>
      <c r="P86" s="57">
        <f t="shared" si="27"/>
        <v>5</v>
      </c>
      <c r="Q86" s="57">
        <f t="shared" si="27"/>
        <v>6</v>
      </c>
      <c r="R86" s="57">
        <f t="shared" si="27"/>
        <v>7</v>
      </c>
      <c r="S86" s="57">
        <f t="shared" si="27"/>
        <v>8</v>
      </c>
      <c r="T86" s="57">
        <f t="shared" si="27"/>
        <v>9</v>
      </c>
      <c r="U86" s="57">
        <f t="shared" si="27"/>
        <v>10</v>
      </c>
      <c r="V86" s="57">
        <f t="shared" si="27"/>
        <v>11</v>
      </c>
      <c r="W86" s="57">
        <f t="shared" si="27"/>
        <v>12</v>
      </c>
      <c r="X86" s="57">
        <f t="shared" si="27"/>
        <v>13</v>
      </c>
      <c r="Y86" s="57">
        <f t="shared" si="27"/>
        <v>14</v>
      </c>
      <c r="Z86" s="57">
        <f t="shared" si="27"/>
        <v>15</v>
      </c>
      <c r="AA86" s="57">
        <f t="shared" si="27"/>
        <v>16</v>
      </c>
      <c r="AB86" s="57">
        <f t="shared" si="27"/>
        <v>17</v>
      </c>
      <c r="AC86" s="57">
        <f t="shared" si="27"/>
        <v>18</v>
      </c>
      <c r="AD86" s="57">
        <f t="shared" si="27"/>
        <v>19</v>
      </c>
      <c r="AE86" s="57">
        <f t="shared" si="27"/>
        <v>20</v>
      </c>
      <c r="AF86" s="57">
        <f t="shared" si="27"/>
        <v>21</v>
      </c>
      <c r="AG86" s="57">
        <f t="shared" si="27"/>
        <v>22</v>
      </c>
      <c r="AH86" s="57">
        <f t="shared" si="27"/>
        <v>23</v>
      </c>
      <c r="AI86" s="57">
        <f t="shared" si="27"/>
        <v>24</v>
      </c>
      <c r="AJ86" s="57">
        <f t="shared" si="27"/>
        <v>25</v>
      </c>
      <c r="AK86" s="57">
        <f t="shared" si="27"/>
        <v>26</v>
      </c>
      <c r="AL86" s="57">
        <f t="shared" si="27"/>
        <v>27</v>
      </c>
      <c r="AM86" s="58" t="s">
        <v>179</v>
      </c>
      <c r="AN86" s="59" t="s">
        <v>180</v>
      </c>
      <c r="AO86" s="28"/>
      <c r="AP86" s="28"/>
      <c r="AQ86" s="28" t="str">
        <f>C86</f>
        <v>jednotlivci</v>
      </c>
      <c r="AR86" s="215">
        <f t="shared" si="23"/>
        <v>0</v>
      </c>
      <c r="AS86" s="215">
        <f aca="true" t="shared" si="28" ref="AS86:AS149">YEAR(AW86)</f>
        <v>1900</v>
      </c>
      <c r="AT86" s="215">
        <f aca="true" t="shared" si="29" ref="AT86:AT149">F86</f>
        <v>0</v>
      </c>
      <c r="AU86" t="str">
        <f t="shared" si="24"/>
        <v>por</v>
      </c>
      <c r="AW86" s="77">
        <f aca="true" t="shared" si="30" ref="AW86:AW149">E86</f>
        <v>0</v>
      </c>
      <c r="BQ86" s="14" t="s">
        <v>246</v>
      </c>
      <c r="BR86" s="14" t="str">
        <f t="shared" si="25"/>
        <v>Priezvisko Meno</v>
      </c>
      <c r="BS86" s="14" t="e">
        <v>#VALUE!</v>
      </c>
      <c r="BT86" s="14" t="s">
        <v>142</v>
      </c>
    </row>
    <row r="87" spans="1:73" ht="15.75">
      <c r="A87" s="150">
        <v>1</v>
      </c>
      <c r="B87" s="62">
        <f aca="true" t="shared" si="31" ref="B87:B140">AN87</f>
        <v>749</v>
      </c>
      <c r="C87" s="63">
        <f aca="true" t="shared" si="32" ref="C87:C120">H87+I87+J87+AM87+AO87*$AO$1</f>
        <v>401</v>
      </c>
      <c r="D87" s="65" t="s">
        <v>9</v>
      </c>
      <c r="E87" s="151">
        <v>36408</v>
      </c>
      <c r="F87" s="67" t="s">
        <v>0</v>
      </c>
      <c r="G87" s="68">
        <v>80</v>
      </c>
      <c r="H87" s="64">
        <v>80</v>
      </c>
      <c r="I87" s="69">
        <f>80+50+32+20+20+32</f>
        <v>234</v>
      </c>
      <c r="J87" s="70"/>
      <c r="K87" s="71"/>
      <c r="L87" s="72">
        <f>2+20+2+32+2+32+2+65</f>
        <v>157</v>
      </c>
      <c r="M87" s="73"/>
      <c r="N87" s="73"/>
      <c r="O87" s="73">
        <f>2+32+2+20+2+50+2+20</f>
        <v>130</v>
      </c>
      <c r="P87" s="73"/>
      <c r="Q87" s="73">
        <f>2+20+2+50+2+20+2+50</f>
        <v>148</v>
      </c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4"/>
      <c r="AK87" s="74"/>
      <c r="AL87" s="74"/>
      <c r="AM87" s="75"/>
      <c r="AN87" s="76">
        <f aca="true" t="shared" si="33" ref="AN87:AN120">SUM(H87:AM87)</f>
        <v>749</v>
      </c>
      <c r="AO87" s="28">
        <f aca="true" t="shared" si="34" ref="AO87:AO120">SUM(L87:AL87)</f>
        <v>435</v>
      </c>
      <c r="AQ87" s="28">
        <f aca="true" t="shared" si="35" ref="AQ87:AQ120">C87</f>
        <v>401</v>
      </c>
      <c r="AR87" s="215" t="str">
        <f t="shared" si="23"/>
        <v>Baka Martin</v>
      </c>
      <c r="AS87" s="215">
        <f t="shared" si="28"/>
        <v>1999</v>
      </c>
      <c r="AT87" s="215" t="str">
        <f t="shared" si="29"/>
        <v>Bielenisko</v>
      </c>
      <c r="AU87">
        <f t="shared" si="24"/>
        <v>1</v>
      </c>
      <c r="AW87" s="77">
        <f t="shared" si="30"/>
        <v>36408</v>
      </c>
      <c r="BQ87" s="14" t="s">
        <v>146</v>
      </c>
      <c r="BR87" s="14" t="str">
        <f t="shared" si="25"/>
        <v>Habšuda Peter</v>
      </c>
      <c r="BS87" s="14">
        <v>1997</v>
      </c>
      <c r="BT87" s="14" t="s">
        <v>145</v>
      </c>
      <c r="BU87" s="1">
        <v>1</v>
      </c>
    </row>
    <row r="88" spans="1:73" ht="15.75">
      <c r="A88" s="79">
        <f aca="true" t="shared" si="36" ref="A88:A140">A87+1</f>
        <v>2</v>
      </c>
      <c r="B88" s="80">
        <f t="shared" si="31"/>
        <v>335</v>
      </c>
      <c r="C88" s="81">
        <f t="shared" si="32"/>
        <v>335</v>
      </c>
      <c r="D88" s="83" t="s">
        <v>56</v>
      </c>
      <c r="E88" s="109">
        <v>35876</v>
      </c>
      <c r="F88" s="164" t="s">
        <v>55</v>
      </c>
      <c r="G88" s="86">
        <v>100</v>
      </c>
      <c r="H88" s="82"/>
      <c r="I88" s="87">
        <f>100+80+65+50+20+20</f>
        <v>335</v>
      </c>
      <c r="J88" s="88"/>
      <c r="K88" s="89"/>
      <c r="L88" s="90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3"/>
      <c r="AK88" s="93"/>
      <c r="AL88" s="93"/>
      <c r="AM88" s="94"/>
      <c r="AN88" s="95">
        <f t="shared" si="33"/>
        <v>335</v>
      </c>
      <c r="AO88" s="28">
        <f t="shared" si="34"/>
        <v>0</v>
      </c>
      <c r="AP88" s="28"/>
      <c r="AQ88" s="28">
        <f t="shared" si="35"/>
        <v>335</v>
      </c>
      <c r="AR88" s="215" t="str">
        <f t="shared" si="23"/>
        <v>Žigo Martin</v>
      </c>
      <c r="AS88" s="215">
        <f t="shared" si="28"/>
        <v>1998</v>
      </c>
      <c r="AT88" s="215" t="str">
        <f t="shared" si="29"/>
        <v>Fándlyho</v>
      </c>
      <c r="AU88">
        <f t="shared" si="24"/>
        <v>2</v>
      </c>
      <c r="AW88" s="77">
        <f t="shared" si="30"/>
        <v>35876</v>
      </c>
      <c r="BQ88" s="14" t="s">
        <v>247</v>
      </c>
      <c r="BR88" s="14" t="str">
        <f t="shared" si="25"/>
        <v>Jakubec Dávid</v>
      </c>
      <c r="BS88" s="14">
        <v>1997</v>
      </c>
      <c r="BT88" s="14" t="s">
        <v>0</v>
      </c>
      <c r="BU88" s="1">
        <v>2</v>
      </c>
    </row>
    <row r="89" spans="1:73" ht="15.75">
      <c r="A89" s="79">
        <f t="shared" si="36"/>
        <v>3</v>
      </c>
      <c r="B89" s="152">
        <f t="shared" si="31"/>
        <v>302</v>
      </c>
      <c r="C89" s="81">
        <f t="shared" si="32"/>
        <v>302</v>
      </c>
      <c r="D89" s="83" t="s">
        <v>128</v>
      </c>
      <c r="E89" s="109">
        <v>36333</v>
      </c>
      <c r="F89" s="164" t="s">
        <v>126</v>
      </c>
      <c r="G89" s="86">
        <v>50</v>
      </c>
      <c r="H89" s="82">
        <v>50</v>
      </c>
      <c r="I89" s="87">
        <f>65+65+32+50+20+20</f>
        <v>252</v>
      </c>
      <c r="J89" s="88"/>
      <c r="K89" s="89"/>
      <c r="L89" s="90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3"/>
      <c r="AK89" s="93"/>
      <c r="AL89" s="93"/>
      <c r="AM89" s="94"/>
      <c r="AN89" s="95">
        <f t="shared" si="33"/>
        <v>302</v>
      </c>
      <c r="AO89" s="28">
        <f t="shared" si="34"/>
        <v>0</v>
      </c>
      <c r="AP89" s="37"/>
      <c r="AQ89" s="28">
        <f t="shared" si="35"/>
        <v>302</v>
      </c>
      <c r="AR89" s="215" t="str">
        <f t="shared" si="23"/>
        <v>Kostrian Matúš</v>
      </c>
      <c r="AS89" s="215">
        <f t="shared" si="28"/>
        <v>1999</v>
      </c>
      <c r="AT89" s="215" t="str">
        <f t="shared" si="29"/>
        <v>Gymnázium</v>
      </c>
      <c r="AU89">
        <f t="shared" si="24"/>
        <v>3</v>
      </c>
      <c r="AW89" s="77">
        <f t="shared" si="30"/>
        <v>36333</v>
      </c>
      <c r="BQ89" s="14" t="s">
        <v>64</v>
      </c>
      <c r="BR89" s="14" t="str">
        <f t="shared" si="25"/>
        <v>Velich Tomáš</v>
      </c>
      <c r="BS89" s="14">
        <v>1997</v>
      </c>
      <c r="BT89" s="14" t="s">
        <v>55</v>
      </c>
      <c r="BU89" s="1">
        <v>3</v>
      </c>
    </row>
    <row r="90" spans="1:73" ht="15.75">
      <c r="A90" s="79">
        <f t="shared" si="36"/>
        <v>4</v>
      </c>
      <c r="B90" s="152">
        <f t="shared" si="31"/>
        <v>339</v>
      </c>
      <c r="C90" s="81">
        <f t="shared" si="32"/>
        <v>283</v>
      </c>
      <c r="D90" s="83" t="s">
        <v>59</v>
      </c>
      <c r="E90" s="109">
        <v>36175</v>
      </c>
      <c r="F90" s="164" t="s">
        <v>55</v>
      </c>
      <c r="G90" s="86">
        <v>32</v>
      </c>
      <c r="H90" s="82">
        <v>32</v>
      </c>
      <c r="I90" s="87">
        <f>65+32+50+50+20+20</f>
        <v>237</v>
      </c>
      <c r="J90" s="88"/>
      <c r="K90" s="89"/>
      <c r="L90" s="90">
        <f>1+1+1+2+65</f>
        <v>70</v>
      </c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3"/>
      <c r="AK90" s="93"/>
      <c r="AL90" s="93"/>
      <c r="AM90" s="94"/>
      <c r="AN90" s="95">
        <f t="shared" si="33"/>
        <v>339</v>
      </c>
      <c r="AO90" s="28">
        <f t="shared" si="34"/>
        <v>70</v>
      </c>
      <c r="AP90" s="28"/>
      <c r="AQ90" s="28">
        <f t="shared" si="35"/>
        <v>283</v>
      </c>
      <c r="AR90" s="215" t="str">
        <f t="shared" si="23"/>
        <v>Janušík Ján</v>
      </c>
      <c r="AS90" s="215">
        <f t="shared" si="28"/>
        <v>1999</v>
      </c>
      <c r="AT90" s="215" t="str">
        <f t="shared" si="29"/>
        <v>Fándlyho</v>
      </c>
      <c r="AU90">
        <f t="shared" si="24"/>
        <v>4</v>
      </c>
      <c r="AW90" s="77">
        <f t="shared" si="30"/>
        <v>36175</v>
      </c>
      <c r="BQ90" s="14" t="s">
        <v>9</v>
      </c>
      <c r="BR90" s="14" t="str">
        <f t="shared" si="25"/>
        <v>Baka Martin</v>
      </c>
      <c r="BS90" s="14">
        <v>1999</v>
      </c>
      <c r="BT90" s="14" t="s">
        <v>0</v>
      </c>
      <c r="BU90" s="1">
        <v>4</v>
      </c>
    </row>
    <row r="91" spans="1:73" ht="15.75">
      <c r="A91" s="79">
        <f t="shared" si="36"/>
        <v>5</v>
      </c>
      <c r="B91" s="152">
        <f t="shared" si="31"/>
        <v>358</v>
      </c>
      <c r="C91" s="81">
        <f t="shared" si="32"/>
        <v>275.6</v>
      </c>
      <c r="D91" s="83" t="s">
        <v>58</v>
      </c>
      <c r="E91" s="109">
        <v>36077</v>
      </c>
      <c r="F91" s="164" t="s">
        <v>55</v>
      </c>
      <c r="G91" s="86">
        <v>65</v>
      </c>
      <c r="H91" s="82">
        <v>65</v>
      </c>
      <c r="I91" s="87">
        <f>50+50+50+20+20</f>
        <v>190</v>
      </c>
      <c r="J91" s="88"/>
      <c r="K91" s="89"/>
      <c r="L91" s="90">
        <f>2+65+1+2+32+1</f>
        <v>103</v>
      </c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3"/>
      <c r="AK91" s="93"/>
      <c r="AL91" s="93"/>
      <c r="AM91" s="94"/>
      <c r="AN91" s="95">
        <f t="shared" si="33"/>
        <v>358</v>
      </c>
      <c r="AO91" s="28">
        <f t="shared" si="34"/>
        <v>103</v>
      </c>
      <c r="AQ91" s="28">
        <f t="shared" si="35"/>
        <v>275.6</v>
      </c>
      <c r="AR91" s="215" t="str">
        <f t="shared" si="23"/>
        <v>Janušík Juraj</v>
      </c>
      <c r="AS91" s="215">
        <f t="shared" si="28"/>
        <v>1998</v>
      </c>
      <c r="AT91" s="215" t="str">
        <f t="shared" si="29"/>
        <v>Fándlyho</v>
      </c>
      <c r="AU91">
        <f t="shared" si="24"/>
        <v>5</v>
      </c>
      <c r="AW91" s="77">
        <f t="shared" si="30"/>
        <v>36077</v>
      </c>
      <c r="BQ91" s="14" t="s">
        <v>56</v>
      </c>
      <c r="BR91" s="14" t="str">
        <f t="shared" si="25"/>
        <v>Žigo Martin</v>
      </c>
      <c r="BS91" s="14">
        <v>1998</v>
      </c>
      <c r="BT91" s="14" t="s">
        <v>55</v>
      </c>
      <c r="BU91" s="1">
        <v>5</v>
      </c>
    </row>
    <row r="92" spans="1:73" ht="15.75">
      <c r="A92" s="79">
        <f t="shared" si="36"/>
        <v>6</v>
      </c>
      <c r="B92" s="152">
        <f t="shared" si="31"/>
        <v>413</v>
      </c>
      <c r="C92" s="81">
        <f t="shared" si="32"/>
        <v>215.4</v>
      </c>
      <c r="D92" s="83" t="s">
        <v>17</v>
      </c>
      <c r="E92" s="109">
        <v>35824</v>
      </c>
      <c r="F92" s="164" t="s">
        <v>0</v>
      </c>
      <c r="G92" s="86">
        <v>32</v>
      </c>
      <c r="H92" s="82">
        <v>32</v>
      </c>
      <c r="I92" s="87">
        <f>50+32+32+20</f>
        <v>134</v>
      </c>
      <c r="J92" s="88"/>
      <c r="K92" s="89"/>
      <c r="L92" s="90">
        <f>2+32+2+32+1+2+20+4</f>
        <v>95</v>
      </c>
      <c r="M92" s="91"/>
      <c r="N92" s="91"/>
      <c r="O92" s="91">
        <f>2+20+1+1+1</f>
        <v>25</v>
      </c>
      <c r="P92" s="91"/>
      <c r="Q92" s="91">
        <f>2+50+1+2+50+2+20</f>
        <v>127</v>
      </c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3"/>
      <c r="AK92" s="93"/>
      <c r="AL92" s="93"/>
      <c r="AM92" s="94"/>
      <c r="AN92" s="95">
        <f t="shared" si="33"/>
        <v>413</v>
      </c>
      <c r="AO92" s="28">
        <f t="shared" si="34"/>
        <v>247</v>
      </c>
      <c r="AQ92" s="28">
        <f t="shared" si="35"/>
        <v>215.4</v>
      </c>
      <c r="AR92" s="215" t="str">
        <f t="shared" si="23"/>
        <v>Rudavský Adam</v>
      </c>
      <c r="AS92" s="215">
        <f t="shared" si="28"/>
        <v>1998</v>
      </c>
      <c r="AT92" s="215" t="str">
        <f t="shared" si="29"/>
        <v>Bielenisko</v>
      </c>
      <c r="AU92">
        <f t="shared" si="24"/>
        <v>6</v>
      </c>
      <c r="AW92" s="77">
        <f t="shared" si="30"/>
        <v>35824</v>
      </c>
      <c r="BQ92" s="14" t="s">
        <v>8</v>
      </c>
      <c r="BR92" s="14" t="str">
        <f t="shared" si="25"/>
        <v>Válek Lukáš</v>
      </c>
      <c r="BS92" s="14">
        <v>1999</v>
      </c>
      <c r="BT92" s="14" t="s">
        <v>0</v>
      </c>
      <c r="BU92" s="1">
        <v>6</v>
      </c>
    </row>
    <row r="93" spans="1:73" ht="15.75">
      <c r="A93" s="79">
        <f t="shared" si="36"/>
        <v>7</v>
      </c>
      <c r="B93" s="152">
        <f t="shared" si="31"/>
        <v>209</v>
      </c>
      <c r="C93" s="81">
        <f t="shared" si="32"/>
        <v>189</v>
      </c>
      <c r="D93" s="83" t="s">
        <v>12</v>
      </c>
      <c r="E93" s="109">
        <v>36213</v>
      </c>
      <c r="F93" s="164" t="s">
        <v>0</v>
      </c>
      <c r="G93" s="86">
        <v>50</v>
      </c>
      <c r="H93" s="82">
        <v>50</v>
      </c>
      <c r="I93" s="87">
        <f>50+32+32+20</f>
        <v>134</v>
      </c>
      <c r="J93" s="88"/>
      <c r="K93" s="89"/>
      <c r="L93" s="90"/>
      <c r="M93" s="91"/>
      <c r="N93" s="91"/>
      <c r="O93" s="91"/>
      <c r="P93" s="91"/>
      <c r="Q93" s="91">
        <f>1+2+20+1+1</f>
        <v>25</v>
      </c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3"/>
      <c r="AK93" s="93"/>
      <c r="AL93" s="93"/>
      <c r="AM93" s="94"/>
      <c r="AN93" s="95">
        <f t="shared" si="33"/>
        <v>209</v>
      </c>
      <c r="AO93" s="28">
        <f t="shared" si="34"/>
        <v>25</v>
      </c>
      <c r="AQ93" s="28">
        <f t="shared" si="35"/>
        <v>189</v>
      </c>
      <c r="AR93" s="215" t="str">
        <f t="shared" si="23"/>
        <v>Uherčík Samuel</v>
      </c>
      <c r="AS93" s="215">
        <f t="shared" si="28"/>
        <v>1999</v>
      </c>
      <c r="AT93" s="215" t="str">
        <f t="shared" si="29"/>
        <v>Bielenisko</v>
      </c>
      <c r="AU93">
        <f t="shared" si="24"/>
        <v>7</v>
      </c>
      <c r="AW93" s="77">
        <f t="shared" si="30"/>
        <v>36213</v>
      </c>
      <c r="BQ93" s="14" t="s">
        <v>14</v>
      </c>
      <c r="BR93" s="14" t="str">
        <f t="shared" si="25"/>
        <v>Okruhlica Oliver</v>
      </c>
      <c r="BS93" s="14">
        <v>1998</v>
      </c>
      <c r="BT93" s="14" t="s">
        <v>0</v>
      </c>
      <c r="BU93" s="1">
        <v>7</v>
      </c>
    </row>
    <row r="94" spans="1:73" ht="15.75">
      <c r="A94" s="79">
        <f t="shared" si="36"/>
        <v>8</v>
      </c>
      <c r="B94" s="152">
        <f t="shared" si="31"/>
        <v>511</v>
      </c>
      <c r="C94" s="81">
        <f t="shared" si="32"/>
        <v>182.2</v>
      </c>
      <c r="D94" s="83" t="s">
        <v>8</v>
      </c>
      <c r="E94" s="109">
        <v>36175</v>
      </c>
      <c r="F94" s="164" t="s">
        <v>0</v>
      </c>
      <c r="G94" s="86">
        <v>100</v>
      </c>
      <c r="H94" s="87">
        <v>100</v>
      </c>
      <c r="I94" s="87"/>
      <c r="J94" s="88"/>
      <c r="K94" s="89"/>
      <c r="L94" s="90">
        <f>2+32+2+65+2+20+2+32+2+15+1+2+20+2+32</f>
        <v>231</v>
      </c>
      <c r="M94" s="91"/>
      <c r="N94" s="91"/>
      <c r="O94" s="91">
        <f>2+32+2+14+2+20+2+32+2+20+2+50</f>
        <v>180</v>
      </c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3"/>
      <c r="AK94" s="93"/>
      <c r="AL94" s="93"/>
      <c r="AM94" s="94"/>
      <c r="AN94" s="95">
        <f t="shared" si="33"/>
        <v>511</v>
      </c>
      <c r="AO94" s="28">
        <f t="shared" si="34"/>
        <v>411</v>
      </c>
      <c r="AQ94" s="28">
        <f t="shared" si="35"/>
        <v>182.2</v>
      </c>
      <c r="AR94" s="215" t="str">
        <f t="shared" si="23"/>
        <v>Válek Lukáš</v>
      </c>
      <c r="AS94" s="215">
        <f t="shared" si="28"/>
        <v>1999</v>
      </c>
      <c r="AT94" s="215" t="str">
        <f t="shared" si="29"/>
        <v>Bielenisko</v>
      </c>
      <c r="AU94">
        <f t="shared" si="24"/>
        <v>8</v>
      </c>
      <c r="AW94" s="77">
        <f t="shared" si="30"/>
        <v>36175</v>
      </c>
      <c r="BQ94" s="14" t="s">
        <v>147</v>
      </c>
      <c r="BR94" s="14" t="str">
        <f t="shared" si="25"/>
        <v>Debrecký Martin</v>
      </c>
      <c r="BS94" s="14">
        <v>1997</v>
      </c>
      <c r="BT94" s="14" t="s">
        <v>145</v>
      </c>
      <c r="BU94" s="1">
        <v>8</v>
      </c>
    </row>
    <row r="95" spans="1:73" ht="15.75">
      <c r="A95" s="79">
        <f t="shared" si="36"/>
        <v>9</v>
      </c>
      <c r="B95" s="152">
        <f t="shared" si="31"/>
        <v>156</v>
      </c>
      <c r="C95" s="81">
        <f t="shared" si="32"/>
        <v>152.8</v>
      </c>
      <c r="D95" s="83" t="s">
        <v>60</v>
      </c>
      <c r="E95" s="109">
        <v>36033</v>
      </c>
      <c r="F95" s="164" t="s">
        <v>55</v>
      </c>
      <c r="G95" s="86">
        <v>32</v>
      </c>
      <c r="H95" s="87">
        <v>32</v>
      </c>
      <c r="I95" s="87">
        <f>50+50+20</f>
        <v>120</v>
      </c>
      <c r="J95" s="88"/>
      <c r="K95" s="89"/>
      <c r="L95" s="90">
        <f>1+1+1+1</f>
        <v>4</v>
      </c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3"/>
      <c r="AK95" s="93"/>
      <c r="AL95" s="93"/>
      <c r="AM95" s="94"/>
      <c r="AN95" s="95">
        <f t="shared" si="33"/>
        <v>156</v>
      </c>
      <c r="AO95" s="28">
        <f t="shared" si="34"/>
        <v>4</v>
      </c>
      <c r="AP95" s="28"/>
      <c r="AQ95" s="28">
        <f t="shared" si="35"/>
        <v>152.8</v>
      </c>
      <c r="AR95" s="215" t="str">
        <f t="shared" si="23"/>
        <v>Foriš Dominik</v>
      </c>
      <c r="AS95" s="215">
        <f t="shared" si="28"/>
        <v>1998</v>
      </c>
      <c r="AT95" s="215" t="str">
        <f t="shared" si="29"/>
        <v>Fándlyho</v>
      </c>
      <c r="AU95">
        <f t="shared" si="24"/>
        <v>9</v>
      </c>
      <c r="AW95" s="77">
        <f t="shared" si="30"/>
        <v>36033</v>
      </c>
      <c r="BQ95" s="14" t="s">
        <v>17</v>
      </c>
      <c r="BR95" s="14" t="str">
        <f t="shared" si="25"/>
        <v>Rudavský Adam</v>
      </c>
      <c r="BS95" s="14">
        <v>1998</v>
      </c>
      <c r="BT95" s="14" t="s">
        <v>0</v>
      </c>
      <c r="BU95" s="1">
        <v>9</v>
      </c>
    </row>
    <row r="96" spans="1:73" ht="15.75">
      <c r="A96" s="79">
        <f t="shared" si="36"/>
        <v>10</v>
      </c>
      <c r="B96" s="152">
        <f t="shared" si="31"/>
        <v>122</v>
      </c>
      <c r="C96" s="81">
        <f t="shared" si="32"/>
        <v>122</v>
      </c>
      <c r="D96" s="83" t="s">
        <v>160</v>
      </c>
      <c r="E96" s="109">
        <v>36341</v>
      </c>
      <c r="F96" s="164" t="s">
        <v>145</v>
      </c>
      <c r="G96" s="86">
        <v>50</v>
      </c>
      <c r="H96" s="82">
        <v>50</v>
      </c>
      <c r="I96" s="87">
        <f>32+20+20</f>
        <v>72</v>
      </c>
      <c r="J96" s="88"/>
      <c r="K96" s="89"/>
      <c r="L96" s="90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3"/>
      <c r="AK96" s="93"/>
      <c r="AL96" s="93"/>
      <c r="AM96" s="94"/>
      <c r="AN96" s="95">
        <f t="shared" si="33"/>
        <v>122</v>
      </c>
      <c r="AO96" s="28">
        <f t="shared" si="34"/>
        <v>0</v>
      </c>
      <c r="AP96" s="37"/>
      <c r="AQ96" s="28">
        <f t="shared" si="35"/>
        <v>122</v>
      </c>
      <c r="AR96" s="215" t="str">
        <f t="shared" si="23"/>
        <v>Juran Jakub</v>
      </c>
      <c r="AS96" s="215">
        <f t="shared" si="28"/>
        <v>1999</v>
      </c>
      <c r="AT96" s="215" t="str">
        <f t="shared" si="29"/>
        <v>Orešie</v>
      </c>
      <c r="AU96">
        <f t="shared" si="24"/>
        <v>10</v>
      </c>
      <c r="AW96" s="77">
        <f t="shared" si="30"/>
        <v>36341</v>
      </c>
      <c r="BQ96" s="14" t="s">
        <v>11</v>
      </c>
      <c r="BR96" s="14" t="str">
        <f t="shared" si="25"/>
        <v>Pribiš Miroslav</v>
      </c>
      <c r="BS96" s="14">
        <v>1998</v>
      </c>
      <c r="BT96" s="14" t="s">
        <v>0</v>
      </c>
      <c r="BU96" s="1">
        <v>10</v>
      </c>
    </row>
    <row r="97" spans="1:73" ht="15.75">
      <c r="A97" s="79">
        <f t="shared" si="36"/>
        <v>11</v>
      </c>
      <c r="B97" s="152">
        <f t="shared" si="31"/>
        <v>122</v>
      </c>
      <c r="C97" s="81">
        <f t="shared" si="32"/>
        <v>122</v>
      </c>
      <c r="D97" s="83" t="s">
        <v>159</v>
      </c>
      <c r="E97" s="109">
        <v>36048</v>
      </c>
      <c r="F97" s="164" t="s">
        <v>145</v>
      </c>
      <c r="G97" s="86">
        <v>50</v>
      </c>
      <c r="H97" s="82">
        <v>50</v>
      </c>
      <c r="I97" s="87">
        <f>32+20+20</f>
        <v>72</v>
      </c>
      <c r="J97" s="88"/>
      <c r="K97" s="89"/>
      <c r="L97" s="90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3"/>
      <c r="AK97" s="93"/>
      <c r="AL97" s="93"/>
      <c r="AM97" s="94"/>
      <c r="AN97" s="95">
        <f t="shared" si="33"/>
        <v>122</v>
      </c>
      <c r="AO97" s="28">
        <f t="shared" si="34"/>
        <v>0</v>
      </c>
      <c r="AP97" s="28"/>
      <c r="AQ97" s="28">
        <f t="shared" si="35"/>
        <v>122</v>
      </c>
      <c r="AR97" s="215" t="str">
        <f t="shared" si="23"/>
        <v>Šuba Peter</v>
      </c>
      <c r="AS97" s="215">
        <f t="shared" si="28"/>
        <v>1998</v>
      </c>
      <c r="AT97" s="215" t="str">
        <f t="shared" si="29"/>
        <v>Orešie</v>
      </c>
      <c r="AU97">
        <f t="shared" si="24"/>
        <v>11</v>
      </c>
      <c r="AW97" s="77">
        <f t="shared" si="30"/>
        <v>36048</v>
      </c>
      <c r="BQ97" s="14" t="s">
        <v>248</v>
      </c>
      <c r="BR97" s="14" t="str">
        <f t="shared" si="25"/>
        <v>Pištek Patrik</v>
      </c>
      <c r="BS97" s="14">
        <v>1998</v>
      </c>
      <c r="BT97" s="14" t="s">
        <v>0</v>
      </c>
      <c r="BU97" s="1">
        <v>11</v>
      </c>
    </row>
    <row r="98" spans="1:73" ht="15.75">
      <c r="A98" s="79">
        <f t="shared" si="36"/>
        <v>12</v>
      </c>
      <c r="B98" s="152">
        <f t="shared" si="31"/>
        <v>100</v>
      </c>
      <c r="C98" s="81">
        <f t="shared" si="32"/>
        <v>96.8</v>
      </c>
      <c r="D98" s="83" t="s">
        <v>15</v>
      </c>
      <c r="E98" s="109">
        <v>36054</v>
      </c>
      <c r="F98" s="164" t="s">
        <v>0</v>
      </c>
      <c r="G98" s="86">
        <v>32</v>
      </c>
      <c r="H98" s="82">
        <v>32</v>
      </c>
      <c r="I98" s="87">
        <f>32+32</f>
        <v>64</v>
      </c>
      <c r="J98" s="88"/>
      <c r="K98" s="89"/>
      <c r="L98" s="90"/>
      <c r="M98" s="91"/>
      <c r="N98" s="91"/>
      <c r="O98" s="91">
        <f>1+1+1+1</f>
        <v>4</v>
      </c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3"/>
      <c r="AK98" s="93"/>
      <c r="AL98" s="93"/>
      <c r="AM98" s="94"/>
      <c r="AN98" s="95">
        <f t="shared" si="33"/>
        <v>100</v>
      </c>
      <c r="AO98" s="28">
        <f t="shared" si="34"/>
        <v>4</v>
      </c>
      <c r="AP98" s="28"/>
      <c r="AQ98" s="28">
        <f t="shared" si="35"/>
        <v>96.8</v>
      </c>
      <c r="AR98" s="215" t="str">
        <f t="shared" si="23"/>
        <v>Nagy Tomáš</v>
      </c>
      <c r="AS98" s="215">
        <f t="shared" si="28"/>
        <v>1998</v>
      </c>
      <c r="AT98" s="215" t="str">
        <f t="shared" si="29"/>
        <v>Bielenisko</v>
      </c>
      <c r="AU98">
        <f t="shared" si="24"/>
        <v>12</v>
      </c>
      <c r="AW98" s="77">
        <f t="shared" si="30"/>
        <v>36054</v>
      </c>
      <c r="BQ98" s="14" t="s">
        <v>57</v>
      </c>
      <c r="BR98" s="14" t="str">
        <f t="shared" si="25"/>
        <v>Farkaš Marek</v>
      </c>
      <c r="BS98" s="14">
        <v>1998</v>
      </c>
      <c r="BT98" s="14" t="s">
        <v>55</v>
      </c>
      <c r="BU98" s="1">
        <v>11</v>
      </c>
    </row>
    <row r="99" spans="1:73" ht="15.75">
      <c r="A99" s="79">
        <f t="shared" si="36"/>
        <v>13</v>
      </c>
      <c r="B99" s="152">
        <f t="shared" si="31"/>
        <v>92</v>
      </c>
      <c r="C99" s="81">
        <f t="shared" si="32"/>
        <v>85.6</v>
      </c>
      <c r="D99" s="83" t="s">
        <v>23</v>
      </c>
      <c r="E99" s="109">
        <v>35978</v>
      </c>
      <c r="F99" s="164" t="s">
        <v>0</v>
      </c>
      <c r="G99" s="86">
        <v>32</v>
      </c>
      <c r="H99" s="82">
        <v>32</v>
      </c>
      <c r="I99" s="87">
        <f>32+20</f>
        <v>52</v>
      </c>
      <c r="J99" s="88"/>
      <c r="K99" s="89"/>
      <c r="L99" s="90">
        <f>1+1+1+1</f>
        <v>4</v>
      </c>
      <c r="M99" s="91"/>
      <c r="N99" s="91"/>
      <c r="O99" s="91">
        <v>4</v>
      </c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3"/>
      <c r="AK99" s="93"/>
      <c r="AL99" s="93"/>
      <c r="AM99" s="94"/>
      <c r="AN99" s="95">
        <f t="shared" si="33"/>
        <v>92</v>
      </c>
      <c r="AO99" s="28">
        <f t="shared" si="34"/>
        <v>8</v>
      </c>
      <c r="AP99" s="28"/>
      <c r="AQ99" s="28">
        <f t="shared" si="35"/>
        <v>85.6</v>
      </c>
      <c r="AR99" s="215" t="str">
        <f t="shared" si="23"/>
        <v>Radoský Martin</v>
      </c>
      <c r="AS99" s="215">
        <f t="shared" si="28"/>
        <v>1998</v>
      </c>
      <c r="AT99" s="215" t="str">
        <f t="shared" si="29"/>
        <v>Bielenisko</v>
      </c>
      <c r="AU99">
        <f t="shared" si="24"/>
        <v>13</v>
      </c>
      <c r="AW99" s="77">
        <f t="shared" si="30"/>
        <v>35978</v>
      </c>
      <c r="BQ99" s="14" t="s">
        <v>249</v>
      </c>
      <c r="BR99" s="14" t="str">
        <f t="shared" si="25"/>
        <v>Chvostek Matej</v>
      </c>
      <c r="BS99" s="14">
        <v>1998</v>
      </c>
      <c r="BT99" s="14" t="s">
        <v>54</v>
      </c>
      <c r="BU99" s="1">
        <v>13</v>
      </c>
    </row>
    <row r="100" spans="1:73" ht="15.75">
      <c r="A100" s="79">
        <f t="shared" si="36"/>
        <v>14</v>
      </c>
      <c r="B100" s="152">
        <f t="shared" si="31"/>
        <v>213</v>
      </c>
      <c r="C100" s="81">
        <f t="shared" si="32"/>
        <v>84.2</v>
      </c>
      <c r="D100" s="83" t="s">
        <v>11</v>
      </c>
      <c r="E100" s="109">
        <v>36081</v>
      </c>
      <c r="F100" s="164" t="s">
        <v>0</v>
      </c>
      <c r="G100" s="86">
        <v>20</v>
      </c>
      <c r="H100" s="87"/>
      <c r="I100" s="87">
        <f>32+20</f>
        <v>52</v>
      </c>
      <c r="J100" s="88"/>
      <c r="K100" s="89"/>
      <c r="L100" s="90"/>
      <c r="M100" s="91"/>
      <c r="N100" s="91"/>
      <c r="O100" s="91">
        <f>1+2+65+2+32+1</f>
        <v>103</v>
      </c>
      <c r="P100" s="91"/>
      <c r="Q100" s="91">
        <f>2+20+2+32+1+1</f>
        <v>58</v>
      </c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3"/>
      <c r="AK100" s="93"/>
      <c r="AL100" s="93"/>
      <c r="AM100" s="94"/>
      <c r="AN100" s="95">
        <f t="shared" si="33"/>
        <v>213</v>
      </c>
      <c r="AO100" s="28">
        <f t="shared" si="34"/>
        <v>161</v>
      </c>
      <c r="AP100" s="28"/>
      <c r="AQ100" s="28">
        <f t="shared" si="35"/>
        <v>84.2</v>
      </c>
      <c r="AR100" s="215" t="str">
        <f t="shared" si="23"/>
        <v>Pribiš Miroslav</v>
      </c>
      <c r="AS100" s="215">
        <f t="shared" si="28"/>
        <v>1998</v>
      </c>
      <c r="AT100" s="215" t="str">
        <f t="shared" si="29"/>
        <v>Bielenisko</v>
      </c>
      <c r="AU100">
        <f t="shared" si="24"/>
        <v>14</v>
      </c>
      <c r="AW100" s="77">
        <f t="shared" si="30"/>
        <v>36081</v>
      </c>
      <c r="BQ100" s="14" t="s">
        <v>26</v>
      </c>
      <c r="BR100" s="14" t="str">
        <f t="shared" si="25"/>
        <v>Krasňanský Tomáš</v>
      </c>
      <c r="BS100" s="14">
        <v>1997</v>
      </c>
      <c r="BT100" s="14" t="s">
        <v>0</v>
      </c>
      <c r="BU100" s="1">
        <v>14</v>
      </c>
    </row>
    <row r="101" spans="1:73" ht="15.75">
      <c r="A101" s="79">
        <f t="shared" si="36"/>
        <v>15</v>
      </c>
      <c r="B101" s="152">
        <f t="shared" si="31"/>
        <v>84</v>
      </c>
      <c r="C101" s="153">
        <f t="shared" si="32"/>
        <v>84</v>
      </c>
      <c r="D101" s="83" t="s">
        <v>57</v>
      </c>
      <c r="E101" s="109">
        <v>35909</v>
      </c>
      <c r="F101" s="164" t="s">
        <v>55</v>
      </c>
      <c r="G101" s="86">
        <v>32</v>
      </c>
      <c r="H101" s="87">
        <v>32</v>
      </c>
      <c r="I101" s="87">
        <f>32+20</f>
        <v>52</v>
      </c>
      <c r="J101" s="88"/>
      <c r="K101" s="89"/>
      <c r="L101" s="90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3"/>
      <c r="AK101" s="93"/>
      <c r="AL101" s="93"/>
      <c r="AM101" s="94"/>
      <c r="AN101" s="95">
        <f t="shared" si="33"/>
        <v>84</v>
      </c>
      <c r="AO101" s="28">
        <f t="shared" si="34"/>
        <v>0</v>
      </c>
      <c r="AP101" s="28"/>
      <c r="AQ101" s="28">
        <f t="shared" si="35"/>
        <v>84</v>
      </c>
      <c r="AR101" s="215" t="str">
        <f t="shared" si="23"/>
        <v>Farkaš Marek</v>
      </c>
      <c r="AS101" s="215">
        <f t="shared" si="28"/>
        <v>1998</v>
      </c>
      <c r="AT101" s="215" t="str">
        <f t="shared" si="29"/>
        <v>Fándlyho</v>
      </c>
      <c r="AU101">
        <f t="shared" si="24"/>
        <v>15</v>
      </c>
      <c r="AW101" s="77">
        <f t="shared" si="30"/>
        <v>35909</v>
      </c>
      <c r="BQ101" s="14" t="s">
        <v>88</v>
      </c>
      <c r="BR101" s="14" t="str">
        <f t="shared" si="25"/>
        <v>Bajla Lukáš</v>
      </c>
      <c r="BS101" s="14">
        <v>1998</v>
      </c>
      <c r="BT101" s="14" t="s">
        <v>87</v>
      </c>
      <c r="BU101" s="1">
        <v>15</v>
      </c>
    </row>
    <row r="102" spans="1:73" ht="15.75">
      <c r="A102" s="79">
        <f t="shared" si="36"/>
        <v>16</v>
      </c>
      <c r="B102" s="152">
        <f t="shared" si="31"/>
        <v>66</v>
      </c>
      <c r="C102" s="81">
        <f t="shared" si="32"/>
        <v>66</v>
      </c>
      <c r="D102" s="83" t="s">
        <v>37</v>
      </c>
      <c r="E102" s="109">
        <v>35860</v>
      </c>
      <c r="F102" s="164" t="s">
        <v>0</v>
      </c>
      <c r="G102" s="86">
        <v>20</v>
      </c>
      <c r="H102" s="87">
        <v>20</v>
      </c>
      <c r="I102" s="87">
        <f>26+20</f>
        <v>46</v>
      </c>
      <c r="J102" s="88"/>
      <c r="K102" s="89"/>
      <c r="L102" s="90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3"/>
      <c r="AK102" s="93"/>
      <c r="AL102" s="93"/>
      <c r="AM102" s="94"/>
      <c r="AN102" s="95">
        <f t="shared" si="33"/>
        <v>66</v>
      </c>
      <c r="AO102" s="28">
        <f t="shared" si="34"/>
        <v>0</v>
      </c>
      <c r="AP102" s="28"/>
      <c r="AQ102" s="28">
        <f t="shared" si="35"/>
        <v>66</v>
      </c>
      <c r="AR102" s="215" t="str">
        <f t="shared" si="23"/>
        <v>Pessl Martin</v>
      </c>
      <c r="AS102" s="215">
        <f t="shared" si="28"/>
        <v>1998</v>
      </c>
      <c r="AT102" s="215" t="str">
        <f t="shared" si="29"/>
        <v>Bielenisko</v>
      </c>
      <c r="AU102">
        <f t="shared" si="24"/>
        <v>16</v>
      </c>
      <c r="AW102" s="77">
        <f t="shared" si="30"/>
        <v>35860</v>
      </c>
      <c r="BQ102" s="14" t="s">
        <v>131</v>
      </c>
      <c r="BR102" s="14" t="str">
        <f t="shared" si="25"/>
        <v>Hrašna Marek</v>
      </c>
      <c r="BS102" s="14">
        <v>1997</v>
      </c>
      <c r="BT102" s="14" t="s">
        <v>126</v>
      </c>
      <c r="BU102" s="1">
        <v>16</v>
      </c>
    </row>
    <row r="103" spans="1:73" ht="15.75">
      <c r="A103" s="79">
        <f t="shared" si="36"/>
        <v>17</v>
      </c>
      <c r="B103" s="152">
        <f t="shared" si="31"/>
        <v>66</v>
      </c>
      <c r="C103" s="81">
        <f t="shared" si="32"/>
        <v>66</v>
      </c>
      <c r="D103" s="83" t="s">
        <v>16</v>
      </c>
      <c r="E103" s="109">
        <v>36289</v>
      </c>
      <c r="F103" s="164" t="s">
        <v>0</v>
      </c>
      <c r="G103" s="86">
        <v>20</v>
      </c>
      <c r="H103" s="82">
        <v>20</v>
      </c>
      <c r="I103" s="87">
        <f>26+20</f>
        <v>46</v>
      </c>
      <c r="J103" s="88"/>
      <c r="K103" s="89"/>
      <c r="L103" s="90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3"/>
      <c r="AK103" s="93"/>
      <c r="AL103" s="93"/>
      <c r="AM103" s="94"/>
      <c r="AN103" s="95">
        <f t="shared" si="33"/>
        <v>66</v>
      </c>
      <c r="AO103" s="28">
        <f t="shared" si="34"/>
        <v>0</v>
      </c>
      <c r="AP103" s="28"/>
      <c r="AQ103" s="28">
        <f t="shared" si="35"/>
        <v>66</v>
      </c>
      <c r="AR103" s="215" t="str">
        <f t="shared" si="23"/>
        <v>Strempek Jakub</v>
      </c>
      <c r="AS103" s="215">
        <f t="shared" si="28"/>
        <v>1999</v>
      </c>
      <c r="AT103" s="215" t="str">
        <f t="shared" si="29"/>
        <v>Bielenisko</v>
      </c>
      <c r="AU103">
        <f t="shared" si="24"/>
        <v>17</v>
      </c>
      <c r="AW103" s="77">
        <f t="shared" si="30"/>
        <v>36289</v>
      </c>
      <c r="BQ103" s="14" t="s">
        <v>23</v>
      </c>
      <c r="BR103" s="14" t="str">
        <f t="shared" si="25"/>
        <v>Radoský Martin</v>
      </c>
      <c r="BS103" s="14">
        <v>1997</v>
      </c>
      <c r="BT103" s="14" t="s">
        <v>0</v>
      </c>
      <c r="BU103" s="1">
        <v>17</v>
      </c>
    </row>
    <row r="104" spans="1:73" ht="15.75">
      <c r="A104" s="79">
        <f t="shared" si="36"/>
        <v>18</v>
      </c>
      <c r="B104" s="152">
        <f t="shared" si="31"/>
        <v>65</v>
      </c>
      <c r="C104" s="81">
        <f t="shared" si="32"/>
        <v>65</v>
      </c>
      <c r="D104" s="83" t="s">
        <v>264</v>
      </c>
      <c r="E104" s="109">
        <v>36175</v>
      </c>
      <c r="F104" s="164" t="s">
        <v>0</v>
      </c>
      <c r="G104" s="86">
        <v>65</v>
      </c>
      <c r="H104" s="82">
        <v>65</v>
      </c>
      <c r="I104" s="87"/>
      <c r="J104" s="88"/>
      <c r="K104" s="89"/>
      <c r="L104" s="90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3"/>
      <c r="AK104" s="93"/>
      <c r="AL104" s="93"/>
      <c r="AM104" s="94"/>
      <c r="AN104" s="95">
        <f t="shared" si="33"/>
        <v>65</v>
      </c>
      <c r="AO104" s="28">
        <f t="shared" si="34"/>
        <v>0</v>
      </c>
      <c r="AQ104" s="28">
        <f t="shared" si="35"/>
        <v>65</v>
      </c>
      <c r="AR104" s="215" t="str">
        <f t="shared" si="23"/>
        <v>Vitek Daniel</v>
      </c>
      <c r="AS104" s="215">
        <f t="shared" si="28"/>
        <v>1999</v>
      </c>
      <c r="AT104" s="215" t="str">
        <f t="shared" si="29"/>
        <v>Bielenisko</v>
      </c>
      <c r="AU104">
        <f t="shared" si="24"/>
        <v>18</v>
      </c>
      <c r="AW104" s="77">
        <f t="shared" si="30"/>
        <v>36175</v>
      </c>
      <c r="BQ104" s="14" t="s">
        <v>25</v>
      </c>
      <c r="BR104" s="14" t="str">
        <f t="shared" si="25"/>
        <v>Kollár Karol</v>
      </c>
      <c r="BS104" s="14">
        <v>1997</v>
      </c>
      <c r="BT104" s="14" t="s">
        <v>0</v>
      </c>
      <c r="BU104" s="1">
        <v>18</v>
      </c>
    </row>
    <row r="105" spans="1:73" ht="15.75">
      <c r="A105" s="79">
        <f t="shared" si="36"/>
        <v>19</v>
      </c>
      <c r="B105" s="152">
        <f t="shared" si="31"/>
        <v>130</v>
      </c>
      <c r="C105" s="81">
        <f t="shared" si="32"/>
        <v>62.8</v>
      </c>
      <c r="D105" s="83" t="s">
        <v>14</v>
      </c>
      <c r="E105" s="109">
        <v>35882</v>
      </c>
      <c r="F105" s="164" t="s">
        <v>0</v>
      </c>
      <c r="G105" s="86">
        <v>20</v>
      </c>
      <c r="H105" s="87">
        <v>20</v>
      </c>
      <c r="I105" s="87">
        <v>26</v>
      </c>
      <c r="J105" s="88"/>
      <c r="K105" s="89"/>
      <c r="L105" s="90">
        <f>1+2+50+1+1</f>
        <v>55</v>
      </c>
      <c r="M105" s="91"/>
      <c r="N105" s="91"/>
      <c r="O105" s="91">
        <f>1+1+1+1</f>
        <v>4</v>
      </c>
      <c r="P105" s="91"/>
      <c r="Q105" s="91">
        <f>1+1+2+20+1</f>
        <v>25</v>
      </c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3"/>
      <c r="AK105" s="93"/>
      <c r="AL105" s="93"/>
      <c r="AM105" s="94"/>
      <c r="AN105" s="95">
        <f t="shared" si="33"/>
        <v>130</v>
      </c>
      <c r="AO105" s="28">
        <f t="shared" si="34"/>
        <v>84</v>
      </c>
      <c r="AP105" s="28"/>
      <c r="AQ105" s="28">
        <f t="shared" si="35"/>
        <v>62.8</v>
      </c>
      <c r="AR105" s="215" t="str">
        <f t="shared" si="23"/>
        <v>Okruhlica Oliver</v>
      </c>
      <c r="AS105" s="215">
        <f t="shared" si="28"/>
        <v>1998</v>
      </c>
      <c r="AT105" s="215" t="str">
        <f t="shared" si="29"/>
        <v>Bielenisko</v>
      </c>
      <c r="AU105">
        <f t="shared" si="24"/>
        <v>19</v>
      </c>
      <c r="AW105" s="77">
        <f t="shared" si="30"/>
        <v>35882</v>
      </c>
      <c r="BQ105" s="14" t="s">
        <v>91</v>
      </c>
      <c r="BR105" s="14" t="str">
        <f t="shared" si="25"/>
        <v>Jedlička Matúš</v>
      </c>
      <c r="BS105" s="14">
        <v>1998</v>
      </c>
      <c r="BT105" s="14" t="s">
        <v>87</v>
      </c>
      <c r="BU105" s="1">
        <v>19</v>
      </c>
    </row>
    <row r="106" spans="1:73" ht="15.75">
      <c r="A106" s="79">
        <f t="shared" si="36"/>
        <v>20</v>
      </c>
      <c r="B106" s="152">
        <f t="shared" si="31"/>
        <v>58</v>
      </c>
      <c r="C106" s="81">
        <f t="shared" si="32"/>
        <v>58</v>
      </c>
      <c r="D106" s="83" t="s">
        <v>248</v>
      </c>
      <c r="E106" s="109">
        <v>35982</v>
      </c>
      <c r="F106" s="164" t="s">
        <v>0</v>
      </c>
      <c r="G106" s="86">
        <v>32</v>
      </c>
      <c r="H106" s="82">
        <v>32</v>
      </c>
      <c r="I106" s="87">
        <v>26</v>
      </c>
      <c r="J106" s="88"/>
      <c r="K106" s="89"/>
      <c r="L106" s="90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3"/>
      <c r="AK106" s="93"/>
      <c r="AL106" s="93"/>
      <c r="AM106" s="94"/>
      <c r="AN106" s="95">
        <f t="shared" si="33"/>
        <v>58</v>
      </c>
      <c r="AO106" s="28">
        <f t="shared" si="34"/>
        <v>0</v>
      </c>
      <c r="AP106" s="28"/>
      <c r="AQ106" s="28">
        <f t="shared" si="35"/>
        <v>58</v>
      </c>
      <c r="AR106" s="215" t="str">
        <f t="shared" si="23"/>
        <v>Pištek Patrik</v>
      </c>
      <c r="AS106" s="215">
        <f t="shared" si="28"/>
        <v>1998</v>
      </c>
      <c r="AT106" s="215" t="str">
        <f t="shared" si="29"/>
        <v>Bielenisko</v>
      </c>
      <c r="AU106">
        <f t="shared" si="24"/>
        <v>20</v>
      </c>
      <c r="AW106" s="77">
        <f t="shared" si="30"/>
        <v>35982</v>
      </c>
      <c r="BQ106" s="14" t="s">
        <v>24</v>
      </c>
      <c r="BR106" s="14" t="str">
        <f t="shared" si="25"/>
        <v>Kvak Václav</v>
      </c>
      <c r="BS106" s="14">
        <v>1997</v>
      </c>
      <c r="BT106" s="14" t="s">
        <v>0</v>
      </c>
      <c r="BU106" s="1">
        <v>20</v>
      </c>
    </row>
    <row r="107" spans="1:73" ht="15.75">
      <c r="A107" s="79">
        <f t="shared" si="36"/>
        <v>21</v>
      </c>
      <c r="B107" s="152">
        <f t="shared" si="31"/>
        <v>46</v>
      </c>
      <c r="C107" s="81">
        <f t="shared" si="32"/>
        <v>46</v>
      </c>
      <c r="D107" s="83" t="s">
        <v>340</v>
      </c>
      <c r="E107" s="109">
        <v>36312</v>
      </c>
      <c r="F107" s="164" t="s">
        <v>337</v>
      </c>
      <c r="G107" s="86">
        <v>20</v>
      </c>
      <c r="H107" s="82">
        <v>20</v>
      </c>
      <c r="I107" s="87">
        <v>26</v>
      </c>
      <c r="J107" s="88"/>
      <c r="K107" s="89"/>
      <c r="L107" s="90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3"/>
      <c r="AK107" s="93"/>
      <c r="AL107" s="93"/>
      <c r="AM107" s="94"/>
      <c r="AN107" s="95">
        <f t="shared" si="33"/>
        <v>46</v>
      </c>
      <c r="AO107" s="28">
        <f t="shared" si="34"/>
        <v>0</v>
      </c>
      <c r="AP107" s="28"/>
      <c r="AQ107" s="28">
        <f t="shared" si="35"/>
        <v>46</v>
      </c>
      <c r="AR107" s="215" t="str">
        <f t="shared" si="23"/>
        <v>Belovič Jozef</v>
      </c>
      <c r="AS107" s="215">
        <f t="shared" si="28"/>
        <v>1999</v>
      </c>
      <c r="AT107" s="215" t="str">
        <f t="shared" si="29"/>
        <v>Svätý Jur</v>
      </c>
      <c r="AU107">
        <f t="shared" si="24"/>
        <v>21</v>
      </c>
      <c r="AW107" s="77">
        <f t="shared" si="30"/>
        <v>36312</v>
      </c>
      <c r="BQ107" s="14" t="s">
        <v>132</v>
      </c>
      <c r="BR107" s="14" t="str">
        <f t="shared" si="25"/>
        <v>Marton Matej</v>
      </c>
      <c r="BS107" s="14">
        <v>1997</v>
      </c>
      <c r="BT107" s="14" t="s">
        <v>126</v>
      </c>
      <c r="BU107" s="1">
        <v>21</v>
      </c>
    </row>
    <row r="108" spans="1:73" ht="15.75">
      <c r="A108" s="79">
        <f t="shared" si="36"/>
        <v>22</v>
      </c>
      <c r="B108" s="152">
        <f t="shared" si="31"/>
        <v>46</v>
      </c>
      <c r="C108" s="81">
        <f t="shared" si="32"/>
        <v>46</v>
      </c>
      <c r="D108" s="83" t="s">
        <v>36</v>
      </c>
      <c r="E108" s="109">
        <v>35832</v>
      </c>
      <c r="F108" s="164" t="s">
        <v>0</v>
      </c>
      <c r="G108" s="86">
        <v>20</v>
      </c>
      <c r="H108" s="82">
        <v>20</v>
      </c>
      <c r="I108" s="87">
        <v>26</v>
      </c>
      <c r="J108" s="88"/>
      <c r="K108" s="89"/>
      <c r="L108" s="90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3"/>
      <c r="AK108" s="93"/>
      <c r="AL108" s="93"/>
      <c r="AM108" s="94"/>
      <c r="AN108" s="95">
        <f t="shared" si="33"/>
        <v>46</v>
      </c>
      <c r="AO108" s="28">
        <f t="shared" si="34"/>
        <v>0</v>
      </c>
      <c r="AP108" s="28"/>
      <c r="AQ108" s="28">
        <f t="shared" si="35"/>
        <v>46</v>
      </c>
      <c r="AR108" s="215" t="str">
        <f t="shared" si="23"/>
        <v>Federl Kristián</v>
      </c>
      <c r="AS108" s="215">
        <f t="shared" si="28"/>
        <v>1998</v>
      </c>
      <c r="AT108" s="215" t="str">
        <f t="shared" si="29"/>
        <v>Bielenisko</v>
      </c>
      <c r="AU108">
        <f t="shared" si="24"/>
        <v>22</v>
      </c>
      <c r="AW108" s="77">
        <f t="shared" si="30"/>
        <v>35832</v>
      </c>
      <c r="BQ108" s="14" t="s">
        <v>250</v>
      </c>
      <c r="BR108" s="14" t="str">
        <f t="shared" si="25"/>
        <v>Navara Dominik</v>
      </c>
      <c r="BS108" s="14">
        <v>1998</v>
      </c>
      <c r="BT108" s="14" t="s">
        <v>55</v>
      </c>
      <c r="BU108" s="1">
        <v>22</v>
      </c>
    </row>
    <row r="109" spans="1:73" ht="15.75">
      <c r="A109" s="79">
        <f t="shared" si="36"/>
        <v>23</v>
      </c>
      <c r="B109" s="152">
        <f t="shared" si="31"/>
        <v>46</v>
      </c>
      <c r="C109" s="81">
        <f t="shared" si="32"/>
        <v>46</v>
      </c>
      <c r="D109" s="83" t="s">
        <v>34</v>
      </c>
      <c r="E109" s="109">
        <v>35913</v>
      </c>
      <c r="F109" s="164" t="s">
        <v>0</v>
      </c>
      <c r="G109" s="86">
        <v>20</v>
      </c>
      <c r="H109" s="82">
        <v>20</v>
      </c>
      <c r="I109" s="87">
        <v>26</v>
      </c>
      <c r="J109" s="88"/>
      <c r="K109" s="89"/>
      <c r="L109" s="90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3"/>
      <c r="AK109" s="93"/>
      <c r="AL109" s="93"/>
      <c r="AM109" s="94"/>
      <c r="AN109" s="95">
        <f t="shared" si="33"/>
        <v>46</v>
      </c>
      <c r="AO109" s="28">
        <f t="shared" si="34"/>
        <v>0</v>
      </c>
      <c r="AP109" s="28"/>
      <c r="AQ109" s="28">
        <f t="shared" si="35"/>
        <v>46</v>
      </c>
      <c r="AR109" s="215" t="str">
        <f t="shared" si="23"/>
        <v>Hvíla Roman</v>
      </c>
      <c r="AS109" s="215">
        <f t="shared" si="28"/>
        <v>1998</v>
      </c>
      <c r="AT109" s="215" t="str">
        <f t="shared" si="29"/>
        <v>Bielenisko</v>
      </c>
      <c r="AU109">
        <f t="shared" si="24"/>
        <v>23</v>
      </c>
      <c r="AW109" s="77">
        <f t="shared" si="30"/>
        <v>35913</v>
      </c>
      <c r="BQ109" s="14" t="s">
        <v>22</v>
      </c>
      <c r="BR109" s="14" t="str">
        <f t="shared" si="25"/>
        <v>Širjov Jakub</v>
      </c>
      <c r="BS109" s="14">
        <v>1997</v>
      </c>
      <c r="BT109" s="14" t="s">
        <v>0</v>
      </c>
      <c r="BU109" s="1">
        <v>23</v>
      </c>
    </row>
    <row r="110" spans="1:73" ht="15.75">
      <c r="A110" s="79">
        <f t="shared" si="36"/>
        <v>24</v>
      </c>
      <c r="B110" s="152">
        <f t="shared" si="31"/>
        <v>40</v>
      </c>
      <c r="C110" s="81">
        <f t="shared" si="32"/>
        <v>40</v>
      </c>
      <c r="D110" s="83" t="s">
        <v>110</v>
      </c>
      <c r="E110" s="109">
        <v>36387</v>
      </c>
      <c r="F110" s="164" t="s">
        <v>87</v>
      </c>
      <c r="G110" s="86">
        <v>20</v>
      </c>
      <c r="H110" s="82">
        <v>20</v>
      </c>
      <c r="I110" s="87">
        <v>20</v>
      </c>
      <c r="J110" s="88"/>
      <c r="K110" s="89"/>
      <c r="L110" s="90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3"/>
      <c r="AK110" s="93"/>
      <c r="AL110" s="93"/>
      <c r="AM110" s="94"/>
      <c r="AN110" s="95">
        <f t="shared" si="33"/>
        <v>40</v>
      </c>
      <c r="AO110" s="28">
        <f t="shared" si="34"/>
        <v>0</v>
      </c>
      <c r="AP110" s="28"/>
      <c r="AQ110" s="28">
        <f t="shared" si="35"/>
        <v>40</v>
      </c>
      <c r="AR110" s="215" t="str">
        <f t="shared" si="23"/>
        <v>Švarc Patrik</v>
      </c>
      <c r="AS110" s="215">
        <f t="shared" si="28"/>
        <v>1999</v>
      </c>
      <c r="AT110" s="215" t="str">
        <f t="shared" si="29"/>
        <v>Kupeckého</v>
      </c>
      <c r="AU110">
        <f t="shared" si="24"/>
        <v>24</v>
      </c>
      <c r="AW110" s="77">
        <f t="shared" si="30"/>
        <v>36387</v>
      </c>
      <c r="BQ110" s="14" t="s">
        <v>90</v>
      </c>
      <c r="BR110" s="14" t="str">
        <f t="shared" si="25"/>
        <v>Malý Maroš</v>
      </c>
      <c r="BS110" s="14">
        <v>1997</v>
      </c>
      <c r="BT110" s="14" t="s">
        <v>87</v>
      </c>
      <c r="BU110" s="1">
        <v>24</v>
      </c>
    </row>
    <row r="111" spans="1:73" ht="15.75">
      <c r="A111" s="79">
        <f t="shared" si="36"/>
        <v>25</v>
      </c>
      <c r="B111" s="152">
        <f t="shared" si="31"/>
        <v>32</v>
      </c>
      <c r="C111" s="81">
        <f t="shared" si="32"/>
        <v>32</v>
      </c>
      <c r="D111" s="83" t="s">
        <v>83</v>
      </c>
      <c r="E111" s="109">
        <v>36366</v>
      </c>
      <c r="F111" s="164" t="s">
        <v>55</v>
      </c>
      <c r="G111" s="86">
        <v>32</v>
      </c>
      <c r="H111" s="82">
        <v>32</v>
      </c>
      <c r="I111" s="87"/>
      <c r="J111" s="88"/>
      <c r="K111" s="89"/>
      <c r="L111" s="90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3"/>
      <c r="AK111" s="93"/>
      <c r="AL111" s="93"/>
      <c r="AM111" s="94"/>
      <c r="AN111" s="95">
        <f t="shared" si="33"/>
        <v>32</v>
      </c>
      <c r="AO111" s="28">
        <f t="shared" si="34"/>
        <v>0</v>
      </c>
      <c r="AP111" s="28"/>
      <c r="AQ111" s="28">
        <f t="shared" si="35"/>
        <v>32</v>
      </c>
      <c r="AR111" s="215" t="str">
        <f t="shared" si="23"/>
        <v>Deters Martin</v>
      </c>
      <c r="AS111" s="215">
        <f t="shared" si="28"/>
        <v>1999</v>
      </c>
      <c r="AT111" s="215" t="str">
        <f t="shared" si="29"/>
        <v>Fándlyho</v>
      </c>
      <c r="AU111">
        <f t="shared" si="24"/>
        <v>25</v>
      </c>
      <c r="AW111" s="77">
        <f t="shared" si="30"/>
        <v>36366</v>
      </c>
      <c r="BQ111" s="14" t="s">
        <v>129</v>
      </c>
      <c r="BR111" s="14" t="str">
        <f t="shared" si="25"/>
        <v>Bulava Dávid</v>
      </c>
      <c r="BS111" s="14">
        <v>1997</v>
      </c>
      <c r="BT111" s="14" t="s">
        <v>126</v>
      </c>
      <c r="BU111" s="1">
        <v>25</v>
      </c>
    </row>
    <row r="112" spans="1:73" ht="15.75">
      <c r="A112" s="79">
        <f t="shared" si="36"/>
        <v>26</v>
      </c>
      <c r="B112" s="152">
        <f t="shared" si="31"/>
        <v>32</v>
      </c>
      <c r="C112" s="81">
        <f t="shared" si="32"/>
        <v>32</v>
      </c>
      <c r="D112" s="83" t="s">
        <v>268</v>
      </c>
      <c r="E112" s="109">
        <v>36395</v>
      </c>
      <c r="F112" s="164" t="s">
        <v>145</v>
      </c>
      <c r="G112" s="86">
        <v>32</v>
      </c>
      <c r="H112" s="87">
        <v>32</v>
      </c>
      <c r="I112" s="87"/>
      <c r="J112" s="88"/>
      <c r="K112" s="89"/>
      <c r="L112" s="90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3"/>
      <c r="AK112" s="93"/>
      <c r="AL112" s="93"/>
      <c r="AM112" s="94"/>
      <c r="AN112" s="95">
        <f t="shared" si="33"/>
        <v>32</v>
      </c>
      <c r="AO112" s="28">
        <f t="shared" si="34"/>
        <v>0</v>
      </c>
      <c r="AP112" s="28"/>
      <c r="AQ112" s="28">
        <f t="shared" si="35"/>
        <v>32</v>
      </c>
      <c r="AR112" s="215" t="str">
        <f t="shared" si="23"/>
        <v>Rybár Tomáš</v>
      </c>
      <c r="AS112" s="215">
        <f t="shared" si="28"/>
        <v>1999</v>
      </c>
      <c r="AT112" s="215" t="str">
        <f t="shared" si="29"/>
        <v>Orešie</v>
      </c>
      <c r="AU112">
        <f t="shared" si="24"/>
        <v>26</v>
      </c>
      <c r="AW112" s="77">
        <f t="shared" si="30"/>
        <v>36395</v>
      </c>
      <c r="BQ112" s="14" t="s">
        <v>133</v>
      </c>
      <c r="BR112" s="14" t="str">
        <f t="shared" si="25"/>
        <v>Šimo Jozef</v>
      </c>
      <c r="BS112" s="14">
        <v>1997</v>
      </c>
      <c r="BT112" s="14" t="s">
        <v>126</v>
      </c>
      <c r="BU112" s="1">
        <v>26</v>
      </c>
    </row>
    <row r="113" spans="1:73" ht="15.75">
      <c r="A113" s="79">
        <f t="shared" si="36"/>
        <v>27</v>
      </c>
      <c r="B113" s="152">
        <f t="shared" si="31"/>
        <v>20</v>
      </c>
      <c r="C113" s="81">
        <f t="shared" si="32"/>
        <v>20</v>
      </c>
      <c r="D113" s="83" t="s">
        <v>88</v>
      </c>
      <c r="E113" s="109">
        <v>35954</v>
      </c>
      <c r="F113" s="164" t="s">
        <v>87</v>
      </c>
      <c r="G113" s="86">
        <v>20</v>
      </c>
      <c r="H113" s="82">
        <v>20</v>
      </c>
      <c r="I113" s="87"/>
      <c r="J113" s="88"/>
      <c r="K113" s="89"/>
      <c r="L113" s="90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3"/>
      <c r="AK113" s="93"/>
      <c r="AL113" s="93"/>
      <c r="AM113" s="155"/>
      <c r="AN113" s="95">
        <f t="shared" si="33"/>
        <v>20</v>
      </c>
      <c r="AO113" s="28">
        <f t="shared" si="34"/>
        <v>0</v>
      </c>
      <c r="AP113" s="28"/>
      <c r="AQ113" s="28">
        <f t="shared" si="35"/>
        <v>20</v>
      </c>
      <c r="AR113" s="215" t="str">
        <f t="shared" si="23"/>
        <v>Bajla Lukáš</v>
      </c>
      <c r="AS113" s="215">
        <f t="shared" si="28"/>
        <v>1998</v>
      </c>
      <c r="AT113" s="215" t="str">
        <f t="shared" si="29"/>
        <v>Kupeckého</v>
      </c>
      <c r="AU113">
        <f t="shared" si="24"/>
        <v>27</v>
      </c>
      <c r="AW113" s="77">
        <f t="shared" si="30"/>
        <v>35954</v>
      </c>
      <c r="BQ113" s="14" t="s">
        <v>150</v>
      </c>
      <c r="BR113" s="14" t="str">
        <f t="shared" si="25"/>
        <v>Rašla Lukáš</v>
      </c>
      <c r="BS113" s="14">
        <v>1997</v>
      </c>
      <c r="BT113" s="14" t="s">
        <v>145</v>
      </c>
      <c r="BU113" s="1">
        <v>27</v>
      </c>
    </row>
    <row r="114" spans="1:73" ht="15.75">
      <c r="A114" s="79">
        <f t="shared" si="36"/>
        <v>28</v>
      </c>
      <c r="B114" s="152">
        <f t="shared" si="31"/>
        <v>20</v>
      </c>
      <c r="C114" s="81">
        <f t="shared" si="32"/>
        <v>20</v>
      </c>
      <c r="D114" s="163" t="s">
        <v>162</v>
      </c>
      <c r="E114" s="109">
        <v>36504</v>
      </c>
      <c r="F114" s="164" t="s">
        <v>145</v>
      </c>
      <c r="G114" s="86">
        <v>20</v>
      </c>
      <c r="H114" s="82">
        <v>20</v>
      </c>
      <c r="I114" s="157"/>
      <c r="J114" s="112"/>
      <c r="K114" s="113"/>
      <c r="L114" s="114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6"/>
      <c r="AK114" s="116"/>
      <c r="AL114" s="93"/>
      <c r="AM114" s="158"/>
      <c r="AN114" s="89">
        <f t="shared" si="33"/>
        <v>20</v>
      </c>
      <c r="AO114" s="28">
        <f t="shared" si="34"/>
        <v>0</v>
      </c>
      <c r="AP114" s="28"/>
      <c r="AQ114" s="28">
        <f t="shared" si="35"/>
        <v>20</v>
      </c>
      <c r="AR114" s="215" t="str">
        <f t="shared" si="23"/>
        <v>Habšuda Adam</v>
      </c>
      <c r="AS114" s="215">
        <f t="shared" si="28"/>
        <v>1999</v>
      </c>
      <c r="AT114" s="215" t="str">
        <f t="shared" si="29"/>
        <v>Orešie</v>
      </c>
      <c r="AU114">
        <f t="shared" si="24"/>
        <v>28</v>
      </c>
      <c r="AW114" s="77">
        <f t="shared" si="30"/>
        <v>36504</v>
      </c>
      <c r="BQ114" s="14" t="s">
        <v>251</v>
      </c>
      <c r="BR114" s="14" t="str">
        <f t="shared" si="25"/>
        <v>Kuchta Patrik</v>
      </c>
      <c r="BS114" s="14">
        <v>1997</v>
      </c>
      <c r="BT114" s="14" t="s">
        <v>87</v>
      </c>
      <c r="BU114" s="1">
        <v>27</v>
      </c>
    </row>
    <row r="115" spans="1:73" ht="15.75">
      <c r="A115" s="79">
        <f t="shared" si="36"/>
        <v>29</v>
      </c>
      <c r="B115" s="152">
        <f t="shared" si="31"/>
        <v>20</v>
      </c>
      <c r="C115" s="81">
        <f t="shared" si="32"/>
        <v>20</v>
      </c>
      <c r="D115" s="83" t="s">
        <v>33</v>
      </c>
      <c r="E115" s="109">
        <v>35998</v>
      </c>
      <c r="F115" s="164" t="s">
        <v>0</v>
      </c>
      <c r="G115" s="86">
        <v>20</v>
      </c>
      <c r="H115" s="82">
        <v>20</v>
      </c>
      <c r="I115" s="87"/>
      <c r="J115" s="88"/>
      <c r="K115" s="89"/>
      <c r="L115" s="90"/>
      <c r="M115" s="91"/>
      <c r="N115" s="91"/>
      <c r="O115" s="91"/>
      <c r="P115" s="92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3"/>
      <c r="AK115" s="93"/>
      <c r="AL115" s="93"/>
      <c r="AM115" s="94"/>
      <c r="AN115" s="95">
        <f t="shared" si="33"/>
        <v>20</v>
      </c>
      <c r="AO115" s="28">
        <f t="shared" si="34"/>
        <v>0</v>
      </c>
      <c r="AP115" s="28"/>
      <c r="AQ115" s="28">
        <f t="shared" si="35"/>
        <v>20</v>
      </c>
      <c r="AR115" s="215" t="str">
        <f t="shared" si="23"/>
        <v>Hacker Michal</v>
      </c>
      <c r="AS115" s="215">
        <f t="shared" si="28"/>
        <v>1998</v>
      </c>
      <c r="AT115" s="215" t="str">
        <f t="shared" si="29"/>
        <v>Bielenisko</v>
      </c>
      <c r="AU115">
        <f t="shared" si="24"/>
        <v>29</v>
      </c>
      <c r="AW115" s="77">
        <f t="shared" si="30"/>
        <v>35998</v>
      </c>
      <c r="BQ115" s="14" t="s">
        <v>130</v>
      </c>
      <c r="BR115" s="14" t="str">
        <f t="shared" si="25"/>
        <v>Gaba Dávid</v>
      </c>
      <c r="BS115" s="14">
        <v>1997</v>
      </c>
      <c r="BT115" s="14" t="s">
        <v>126</v>
      </c>
      <c r="BU115" s="1">
        <v>27</v>
      </c>
    </row>
    <row r="116" spans="1:73" ht="15.75">
      <c r="A116" s="79">
        <f t="shared" si="36"/>
        <v>30</v>
      </c>
      <c r="B116" s="152">
        <f t="shared" si="31"/>
        <v>20</v>
      </c>
      <c r="C116" s="81">
        <f t="shared" si="32"/>
        <v>20</v>
      </c>
      <c r="D116" s="99" t="s">
        <v>91</v>
      </c>
      <c r="E116" s="109">
        <v>35891</v>
      </c>
      <c r="F116" s="164" t="s">
        <v>87</v>
      </c>
      <c r="G116" s="86">
        <v>20</v>
      </c>
      <c r="H116" s="110">
        <v>20</v>
      </c>
      <c r="I116" s="111"/>
      <c r="J116" s="112"/>
      <c r="K116" s="113"/>
      <c r="L116" s="114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6"/>
      <c r="AK116" s="116"/>
      <c r="AL116" s="116"/>
      <c r="AM116" s="117"/>
      <c r="AN116" s="159">
        <f t="shared" si="33"/>
        <v>20</v>
      </c>
      <c r="AO116" s="28">
        <f t="shared" si="34"/>
        <v>0</v>
      </c>
      <c r="AP116" s="28"/>
      <c r="AQ116" s="28">
        <f t="shared" si="35"/>
        <v>20</v>
      </c>
      <c r="AR116" s="215" t="str">
        <f t="shared" si="23"/>
        <v>Jedlička Matúš</v>
      </c>
      <c r="AS116" s="215">
        <f t="shared" si="28"/>
        <v>1998</v>
      </c>
      <c r="AT116" s="215" t="str">
        <f t="shared" si="29"/>
        <v>Kupeckého</v>
      </c>
      <c r="AU116">
        <f t="shared" si="24"/>
        <v>30</v>
      </c>
      <c r="AW116" s="77">
        <f t="shared" si="30"/>
        <v>35891</v>
      </c>
      <c r="BQ116" s="14" t="s">
        <v>252</v>
      </c>
      <c r="BR116" s="14" t="str">
        <f t="shared" si="25"/>
        <v>Kubáň Peter</v>
      </c>
      <c r="BS116" s="14">
        <v>1998</v>
      </c>
      <c r="BT116" s="14" t="s">
        <v>206</v>
      </c>
      <c r="BU116" s="1">
        <v>30</v>
      </c>
    </row>
    <row r="117" spans="1:73" ht="15.75">
      <c r="A117" s="79">
        <f t="shared" si="36"/>
        <v>31</v>
      </c>
      <c r="B117" s="152">
        <f t="shared" si="31"/>
        <v>20</v>
      </c>
      <c r="C117" s="81">
        <f t="shared" si="32"/>
        <v>20</v>
      </c>
      <c r="D117" s="83" t="s">
        <v>89</v>
      </c>
      <c r="E117" s="109">
        <v>35954</v>
      </c>
      <c r="F117" s="164" t="s">
        <v>87</v>
      </c>
      <c r="G117" s="86">
        <v>20</v>
      </c>
      <c r="H117" s="110"/>
      <c r="I117" s="111">
        <v>20</v>
      </c>
      <c r="J117" s="112"/>
      <c r="K117" s="113"/>
      <c r="L117" s="114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6"/>
      <c r="AK117" s="116"/>
      <c r="AL117" s="116"/>
      <c r="AM117" s="117"/>
      <c r="AN117" s="159">
        <f t="shared" si="33"/>
        <v>20</v>
      </c>
      <c r="AO117" s="28">
        <f t="shared" si="34"/>
        <v>0</v>
      </c>
      <c r="AP117" s="28"/>
      <c r="AQ117" s="28">
        <f t="shared" si="35"/>
        <v>20</v>
      </c>
      <c r="AR117" s="215" t="str">
        <f t="shared" si="23"/>
        <v>Palkovič Samuel</v>
      </c>
      <c r="AS117" s="215">
        <f t="shared" si="28"/>
        <v>1998</v>
      </c>
      <c r="AT117" s="215" t="str">
        <f t="shared" si="29"/>
        <v>Kupeckého</v>
      </c>
      <c r="AU117">
        <f t="shared" si="24"/>
        <v>31</v>
      </c>
      <c r="AW117" s="77">
        <f t="shared" si="30"/>
        <v>35954</v>
      </c>
      <c r="BQ117" s="14" t="s">
        <v>253</v>
      </c>
      <c r="BR117" s="14" t="str">
        <f t="shared" si="25"/>
        <v>Pazdernatý Matúš</v>
      </c>
      <c r="BS117" s="14">
        <v>1997</v>
      </c>
      <c r="BT117" s="14" t="s">
        <v>55</v>
      </c>
      <c r="BU117" s="1">
        <v>30</v>
      </c>
    </row>
    <row r="118" spans="1:73" ht="15.75">
      <c r="A118" s="79">
        <f t="shared" si="36"/>
        <v>32</v>
      </c>
      <c r="B118" s="152">
        <f t="shared" si="31"/>
        <v>0</v>
      </c>
      <c r="C118" s="81">
        <f t="shared" si="32"/>
        <v>0</v>
      </c>
      <c r="D118" s="83" t="s">
        <v>61</v>
      </c>
      <c r="E118" s="109">
        <v>36375</v>
      </c>
      <c r="F118" s="164" t="s">
        <v>55</v>
      </c>
      <c r="G118" s="86"/>
      <c r="H118" s="110"/>
      <c r="I118" s="111"/>
      <c r="J118" s="112"/>
      <c r="K118" s="113"/>
      <c r="L118" s="114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6"/>
      <c r="AK118" s="116"/>
      <c r="AL118" s="116"/>
      <c r="AM118" s="117"/>
      <c r="AN118" s="159">
        <f t="shared" si="33"/>
        <v>0</v>
      </c>
      <c r="AO118" s="28">
        <f t="shared" si="34"/>
        <v>0</v>
      </c>
      <c r="AP118" s="28"/>
      <c r="AQ118" s="28">
        <f t="shared" si="35"/>
        <v>0</v>
      </c>
      <c r="AR118" s="215" t="str">
        <f t="shared" si="23"/>
        <v>Bereník Adam</v>
      </c>
      <c r="AS118" s="215">
        <f t="shared" si="28"/>
        <v>1999</v>
      </c>
      <c r="AT118" s="215" t="str">
        <f t="shared" si="29"/>
        <v>Fándlyho</v>
      </c>
      <c r="AU118">
        <f t="shared" si="24"/>
        <v>32</v>
      </c>
      <c r="AW118" s="77">
        <f t="shared" si="30"/>
        <v>36375</v>
      </c>
      <c r="BQ118" s="14" t="s">
        <v>148</v>
      </c>
      <c r="BR118" s="14" t="str">
        <f t="shared" si="25"/>
        <v>Šmahovský Jakub</v>
      </c>
      <c r="BS118" s="14">
        <v>1997</v>
      </c>
      <c r="BT118" s="14" t="s">
        <v>145</v>
      </c>
      <c r="BU118" s="1">
        <v>32</v>
      </c>
    </row>
    <row r="119" spans="1:73" ht="15.75">
      <c r="A119" s="79">
        <f t="shared" si="36"/>
        <v>33</v>
      </c>
      <c r="B119" s="152">
        <f t="shared" si="31"/>
        <v>0</v>
      </c>
      <c r="C119" s="81">
        <f t="shared" si="32"/>
        <v>0</v>
      </c>
      <c r="D119" s="83" t="s">
        <v>62</v>
      </c>
      <c r="E119" s="109">
        <v>35974</v>
      </c>
      <c r="F119" s="164" t="s">
        <v>55</v>
      </c>
      <c r="G119" s="86"/>
      <c r="H119" s="110"/>
      <c r="I119" s="111"/>
      <c r="J119" s="112"/>
      <c r="K119" s="182"/>
      <c r="L119" s="114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6"/>
      <c r="AK119" s="116"/>
      <c r="AL119" s="116"/>
      <c r="AM119" s="117"/>
      <c r="AN119" s="159">
        <f t="shared" si="33"/>
        <v>0</v>
      </c>
      <c r="AO119" s="28">
        <f t="shared" si="34"/>
        <v>0</v>
      </c>
      <c r="AP119" s="28"/>
      <c r="AQ119" s="28">
        <f t="shared" si="35"/>
        <v>0</v>
      </c>
      <c r="AR119" s="215" t="str">
        <f t="shared" si="23"/>
        <v>Nejedlík Andrej</v>
      </c>
      <c r="AS119" s="215">
        <f t="shared" si="28"/>
        <v>1998</v>
      </c>
      <c r="AT119" s="215" t="str">
        <f t="shared" si="29"/>
        <v>Fándlyho</v>
      </c>
      <c r="AU119">
        <f t="shared" si="24"/>
        <v>33</v>
      </c>
      <c r="AW119" s="77">
        <f t="shared" si="30"/>
        <v>35974</v>
      </c>
      <c r="BQ119" s="14" t="s">
        <v>254</v>
      </c>
      <c r="BR119" s="14" t="str">
        <f t="shared" si="25"/>
        <v>Hacker Michael</v>
      </c>
      <c r="BS119" s="14">
        <v>1998</v>
      </c>
      <c r="BT119" s="14" t="s">
        <v>0</v>
      </c>
      <c r="BU119" s="1">
        <v>33</v>
      </c>
    </row>
    <row r="120" spans="1:73" ht="15.75">
      <c r="A120" s="79">
        <f t="shared" si="36"/>
        <v>34</v>
      </c>
      <c r="B120" s="152">
        <f t="shared" si="31"/>
        <v>0</v>
      </c>
      <c r="C120" s="81">
        <f t="shared" si="32"/>
        <v>0</v>
      </c>
      <c r="D120" s="82" t="s">
        <v>80</v>
      </c>
      <c r="E120" s="84">
        <v>35850</v>
      </c>
      <c r="F120" s="85" t="s">
        <v>55</v>
      </c>
      <c r="G120" s="86"/>
      <c r="H120" s="82"/>
      <c r="I120" s="87"/>
      <c r="J120" s="88"/>
      <c r="K120" s="89"/>
      <c r="L120" s="90"/>
      <c r="M120" s="91"/>
      <c r="N120" s="91"/>
      <c r="O120" s="91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6"/>
      <c r="AK120" s="116"/>
      <c r="AL120" s="116"/>
      <c r="AM120" s="117"/>
      <c r="AN120" s="159">
        <f t="shared" si="33"/>
        <v>0</v>
      </c>
      <c r="AO120" s="28">
        <f t="shared" si="34"/>
        <v>0</v>
      </c>
      <c r="AP120" s="28"/>
      <c r="AQ120" s="28">
        <f t="shared" si="35"/>
        <v>0</v>
      </c>
      <c r="AR120" s="215" t="str">
        <f t="shared" si="23"/>
        <v>Siegel Dávid</v>
      </c>
      <c r="AS120" s="215">
        <f t="shared" si="28"/>
        <v>1998</v>
      </c>
      <c r="AT120" s="215" t="str">
        <f t="shared" si="29"/>
        <v>Fándlyho</v>
      </c>
      <c r="AU120">
        <f t="shared" si="24"/>
        <v>34</v>
      </c>
      <c r="AW120" s="77">
        <f t="shared" si="30"/>
        <v>35850</v>
      </c>
      <c r="BQ120" s="14" t="s">
        <v>149</v>
      </c>
      <c r="BR120" s="14" t="str">
        <f t="shared" si="25"/>
        <v>Mlynek Michal</v>
      </c>
      <c r="BS120" s="14">
        <v>1997</v>
      </c>
      <c r="BT120" s="14" t="s">
        <v>145</v>
      </c>
      <c r="BU120" s="1">
        <v>34</v>
      </c>
    </row>
    <row r="121" spans="1:73" ht="15.75">
      <c r="A121" s="79">
        <f t="shared" si="36"/>
        <v>35</v>
      </c>
      <c r="B121" s="152">
        <f t="shared" si="31"/>
        <v>0</v>
      </c>
      <c r="C121" s="81">
        <f aca="true" t="shared" si="37" ref="C121:C140">H121+I121+J121+AM121+AO121*$AO$1</f>
        <v>0</v>
      </c>
      <c r="D121" s="83"/>
      <c r="E121" s="109"/>
      <c r="F121" s="164"/>
      <c r="G121" s="86"/>
      <c r="H121" s="110"/>
      <c r="I121" s="111"/>
      <c r="J121" s="112"/>
      <c r="K121" s="113"/>
      <c r="L121" s="114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6"/>
      <c r="AK121" s="116"/>
      <c r="AL121" s="116"/>
      <c r="AM121" s="117"/>
      <c r="AN121" s="159">
        <f aca="true" t="shared" si="38" ref="AN121:AN140">SUM(H121:AM121)</f>
        <v>0</v>
      </c>
      <c r="AO121" s="28">
        <f aca="true" t="shared" si="39" ref="AO121:AO140">SUM(L121:AL121)</f>
        <v>0</v>
      </c>
      <c r="AP121" s="28"/>
      <c r="AQ121" s="28">
        <f>C121</f>
        <v>0</v>
      </c>
      <c r="AR121" s="215">
        <f t="shared" si="23"/>
        <v>0</v>
      </c>
      <c r="AS121" s="215">
        <f t="shared" si="28"/>
        <v>1900</v>
      </c>
      <c r="AT121" s="215">
        <f t="shared" si="29"/>
        <v>0</v>
      </c>
      <c r="AU121">
        <f t="shared" si="24"/>
        <v>35</v>
      </c>
      <c r="AW121" s="77">
        <f t="shared" si="30"/>
        <v>0</v>
      </c>
      <c r="BQ121" s="14" t="s">
        <v>158</v>
      </c>
      <c r="BR121" s="14" t="str">
        <f t="shared" si="25"/>
        <v>Vojtek Ľubomír</v>
      </c>
      <c r="BS121" s="14">
        <v>1997</v>
      </c>
      <c r="BT121" s="14" t="s">
        <v>145</v>
      </c>
      <c r="BU121" s="1">
        <v>34</v>
      </c>
    </row>
    <row r="122" spans="1:73" ht="15.75">
      <c r="A122" s="79">
        <f t="shared" si="36"/>
        <v>36</v>
      </c>
      <c r="B122" s="152">
        <f t="shared" si="31"/>
        <v>0</v>
      </c>
      <c r="C122" s="81">
        <f t="shared" si="37"/>
        <v>0</v>
      </c>
      <c r="D122" s="83"/>
      <c r="E122" s="109"/>
      <c r="F122" s="164"/>
      <c r="G122" s="86"/>
      <c r="H122" s="110"/>
      <c r="I122" s="111"/>
      <c r="J122" s="112"/>
      <c r="K122" s="113"/>
      <c r="L122" s="114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6"/>
      <c r="AK122" s="116"/>
      <c r="AL122" s="116"/>
      <c r="AM122" s="117"/>
      <c r="AN122" s="159">
        <f t="shared" si="38"/>
        <v>0</v>
      </c>
      <c r="AO122" s="28">
        <f t="shared" si="39"/>
        <v>0</v>
      </c>
      <c r="AP122" s="28"/>
      <c r="AQ122" s="28">
        <f>C122</f>
        <v>0</v>
      </c>
      <c r="AR122" s="215">
        <f t="shared" si="23"/>
        <v>0</v>
      </c>
      <c r="AS122" s="215">
        <f t="shared" si="28"/>
        <v>1900</v>
      </c>
      <c r="AT122" s="215">
        <f t="shared" si="29"/>
        <v>0</v>
      </c>
      <c r="AU122">
        <f t="shared" si="24"/>
        <v>36</v>
      </c>
      <c r="AW122" s="77">
        <f t="shared" si="30"/>
        <v>0</v>
      </c>
      <c r="BQ122" s="14" t="s">
        <v>255</v>
      </c>
      <c r="BR122" s="14" t="str">
        <f t="shared" si="25"/>
        <v>Bohúň Patrik</v>
      </c>
      <c r="BS122" s="14">
        <v>1998</v>
      </c>
      <c r="BT122" s="14" t="s">
        <v>206</v>
      </c>
      <c r="BU122" s="1">
        <v>36</v>
      </c>
    </row>
    <row r="123" spans="1:73" ht="15.75">
      <c r="A123" s="79">
        <f t="shared" si="36"/>
        <v>37</v>
      </c>
      <c r="B123" s="152">
        <f t="shared" si="31"/>
        <v>0</v>
      </c>
      <c r="C123" s="81">
        <f t="shared" si="37"/>
        <v>0</v>
      </c>
      <c r="D123" s="83"/>
      <c r="E123" s="109"/>
      <c r="F123" s="164"/>
      <c r="G123" s="86"/>
      <c r="H123" s="110"/>
      <c r="I123" s="111"/>
      <c r="J123" s="112"/>
      <c r="K123" s="113"/>
      <c r="L123" s="114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6"/>
      <c r="AK123" s="116"/>
      <c r="AL123" s="116"/>
      <c r="AM123" s="117"/>
      <c r="AN123" s="159">
        <f t="shared" si="38"/>
        <v>0</v>
      </c>
      <c r="AO123" s="28">
        <f t="shared" si="39"/>
        <v>0</v>
      </c>
      <c r="AP123" s="28"/>
      <c r="AQ123" s="28">
        <f>C123</f>
        <v>0</v>
      </c>
      <c r="AR123" s="215">
        <f t="shared" si="23"/>
        <v>0</v>
      </c>
      <c r="AS123" s="215">
        <f t="shared" si="28"/>
        <v>1900</v>
      </c>
      <c r="AT123" s="215">
        <f t="shared" si="29"/>
        <v>0</v>
      </c>
      <c r="AU123">
        <f t="shared" si="24"/>
        <v>37</v>
      </c>
      <c r="AW123" s="77">
        <f t="shared" si="30"/>
        <v>0</v>
      </c>
      <c r="BQ123" s="14" t="s">
        <v>36</v>
      </c>
      <c r="BR123" s="14" t="str">
        <f t="shared" si="25"/>
        <v>Federl Kristián</v>
      </c>
      <c r="BS123" s="14">
        <v>1998</v>
      </c>
      <c r="BT123" s="14" t="s">
        <v>0</v>
      </c>
      <c r="BU123" s="1">
        <v>36</v>
      </c>
    </row>
    <row r="124" spans="1:73" ht="15.75">
      <c r="A124" s="79">
        <f t="shared" si="36"/>
        <v>38</v>
      </c>
      <c r="B124" s="152">
        <f t="shared" si="31"/>
        <v>0</v>
      </c>
      <c r="C124" s="81">
        <f t="shared" si="37"/>
        <v>0</v>
      </c>
      <c r="D124" s="83"/>
      <c r="E124" s="109"/>
      <c r="F124" s="164"/>
      <c r="G124" s="86"/>
      <c r="H124" s="110"/>
      <c r="I124" s="111"/>
      <c r="J124" s="112"/>
      <c r="K124" s="113"/>
      <c r="L124" s="114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6"/>
      <c r="AK124" s="116"/>
      <c r="AL124" s="116"/>
      <c r="AM124" s="117"/>
      <c r="AN124" s="159">
        <f t="shared" si="38"/>
        <v>0</v>
      </c>
      <c r="AO124" s="28">
        <f t="shared" si="39"/>
        <v>0</v>
      </c>
      <c r="AP124" s="28"/>
      <c r="AQ124" s="28">
        <f>C124</f>
        <v>0</v>
      </c>
      <c r="AR124" s="215">
        <f t="shared" si="23"/>
        <v>0</v>
      </c>
      <c r="AS124" s="215">
        <f t="shared" si="28"/>
        <v>1900</v>
      </c>
      <c r="AT124" s="215">
        <f t="shared" si="29"/>
        <v>0</v>
      </c>
      <c r="AU124">
        <f t="shared" si="24"/>
        <v>38</v>
      </c>
      <c r="AW124" s="77">
        <f t="shared" si="30"/>
        <v>0</v>
      </c>
      <c r="BQ124" s="14" t="s">
        <v>256</v>
      </c>
      <c r="BR124" s="14" t="str">
        <f t="shared" si="25"/>
        <v>Gašparovič Štefan</v>
      </c>
      <c r="BS124" s="14">
        <v>1997</v>
      </c>
      <c r="BT124" s="14" t="s">
        <v>206</v>
      </c>
      <c r="BU124" s="1">
        <v>36</v>
      </c>
    </row>
    <row r="125" spans="1:73" ht="15.75">
      <c r="A125" s="79">
        <f t="shared" si="36"/>
        <v>39</v>
      </c>
      <c r="B125" s="152">
        <f t="shared" si="31"/>
        <v>0</v>
      </c>
      <c r="C125" s="81">
        <f t="shared" si="37"/>
        <v>0</v>
      </c>
      <c r="D125" s="83"/>
      <c r="E125" s="109"/>
      <c r="F125" s="164"/>
      <c r="G125" s="86"/>
      <c r="H125" s="111"/>
      <c r="I125" s="111"/>
      <c r="J125" s="112"/>
      <c r="K125" s="113"/>
      <c r="L125" s="114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6"/>
      <c r="AK125" s="116"/>
      <c r="AL125" s="116"/>
      <c r="AM125" s="117"/>
      <c r="AN125" s="159">
        <f t="shared" si="38"/>
        <v>0</v>
      </c>
      <c r="AO125" s="28">
        <f t="shared" si="39"/>
        <v>0</v>
      </c>
      <c r="AP125" s="28"/>
      <c r="AQ125" s="28">
        <f>C125</f>
        <v>0</v>
      </c>
      <c r="AR125" s="215">
        <f t="shared" si="23"/>
        <v>0</v>
      </c>
      <c r="AS125" s="215">
        <f t="shared" si="28"/>
        <v>1900</v>
      </c>
      <c r="AT125" s="215">
        <f t="shared" si="29"/>
        <v>0</v>
      </c>
      <c r="AU125">
        <f t="shared" si="24"/>
        <v>39</v>
      </c>
      <c r="AW125" s="77">
        <f t="shared" si="30"/>
        <v>0</v>
      </c>
      <c r="BQ125" s="14" t="s">
        <v>34</v>
      </c>
      <c r="BR125" s="14" t="str">
        <f t="shared" si="25"/>
        <v>Hvíla Roman</v>
      </c>
      <c r="BS125" s="14">
        <v>1998</v>
      </c>
      <c r="BT125" s="14" t="s">
        <v>0</v>
      </c>
      <c r="BU125" s="1">
        <v>36</v>
      </c>
    </row>
    <row r="126" spans="1:73" ht="15.75">
      <c r="A126" s="79">
        <f t="shared" si="36"/>
        <v>40</v>
      </c>
      <c r="B126" s="152">
        <f t="shared" si="31"/>
        <v>0</v>
      </c>
      <c r="C126" s="81">
        <f t="shared" si="37"/>
        <v>0</v>
      </c>
      <c r="D126" s="83"/>
      <c r="E126" s="109"/>
      <c r="F126" s="164"/>
      <c r="G126" s="86"/>
      <c r="H126" s="111"/>
      <c r="I126" s="111"/>
      <c r="J126" s="112"/>
      <c r="K126" s="160"/>
      <c r="L126" s="114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15"/>
      <c r="X126" s="115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2"/>
      <c r="AN126" s="159">
        <f t="shared" si="38"/>
        <v>0</v>
      </c>
      <c r="AO126" s="28">
        <f t="shared" si="39"/>
        <v>0</v>
      </c>
      <c r="AP126" s="28"/>
      <c r="AQ126" s="28">
        <f>C126</f>
        <v>0</v>
      </c>
      <c r="AR126" s="215">
        <f t="shared" si="23"/>
        <v>0</v>
      </c>
      <c r="AS126" s="215">
        <f t="shared" si="28"/>
        <v>1900</v>
      </c>
      <c r="AT126" s="215">
        <f t="shared" si="29"/>
        <v>0</v>
      </c>
      <c r="AU126">
        <f t="shared" si="24"/>
        <v>40</v>
      </c>
      <c r="AW126" s="77">
        <f t="shared" si="30"/>
        <v>0</v>
      </c>
      <c r="BQ126" s="14" t="s">
        <v>257</v>
      </c>
      <c r="BR126" s="14" t="str">
        <f t="shared" si="25"/>
        <v>Janušik Juraj</v>
      </c>
      <c r="BS126" s="14">
        <v>1998</v>
      </c>
      <c r="BT126" s="14" t="s">
        <v>55</v>
      </c>
      <c r="BU126" s="1">
        <v>36</v>
      </c>
    </row>
    <row r="127" spans="1:73" ht="15.75">
      <c r="A127" s="79">
        <f t="shared" si="36"/>
        <v>41</v>
      </c>
      <c r="B127" s="152">
        <f t="shared" si="31"/>
        <v>0</v>
      </c>
      <c r="C127" s="81">
        <f t="shared" si="37"/>
        <v>0</v>
      </c>
      <c r="D127" s="83"/>
      <c r="E127" s="109"/>
      <c r="F127" s="164"/>
      <c r="G127" s="86"/>
      <c r="H127" s="110"/>
      <c r="I127" s="111"/>
      <c r="J127" s="112"/>
      <c r="K127" s="113"/>
      <c r="L127" s="114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6"/>
      <c r="AK127" s="116"/>
      <c r="AL127" s="116"/>
      <c r="AM127" s="117"/>
      <c r="AN127" s="159">
        <f t="shared" si="38"/>
        <v>0</v>
      </c>
      <c r="AO127" s="28">
        <f t="shared" si="39"/>
        <v>0</v>
      </c>
      <c r="AP127" s="28"/>
      <c r="AQ127" s="28">
        <f>C127</f>
        <v>0</v>
      </c>
      <c r="AR127" s="215">
        <f t="shared" si="23"/>
        <v>0</v>
      </c>
      <c r="AS127" s="215">
        <f t="shared" si="28"/>
        <v>1900</v>
      </c>
      <c r="AT127" s="215">
        <f t="shared" si="29"/>
        <v>0</v>
      </c>
      <c r="AU127">
        <f t="shared" si="24"/>
        <v>41</v>
      </c>
      <c r="AW127" s="77">
        <f t="shared" si="30"/>
        <v>0</v>
      </c>
      <c r="BQ127" s="14" t="s">
        <v>15</v>
      </c>
      <c r="BR127" s="14" t="str">
        <f t="shared" si="25"/>
        <v>Nagy Tomáš</v>
      </c>
      <c r="BS127" s="14">
        <v>1998</v>
      </c>
      <c r="BT127" s="14" t="s">
        <v>0</v>
      </c>
      <c r="BU127" s="1">
        <v>36</v>
      </c>
    </row>
    <row r="128" spans="1:73" ht="15.75">
      <c r="A128" s="79">
        <f t="shared" si="36"/>
        <v>42</v>
      </c>
      <c r="B128" s="152">
        <f t="shared" si="31"/>
        <v>0</v>
      </c>
      <c r="C128" s="81">
        <f t="shared" si="37"/>
        <v>0</v>
      </c>
      <c r="D128" s="83"/>
      <c r="E128" s="109"/>
      <c r="F128" s="164"/>
      <c r="G128" s="86"/>
      <c r="H128" s="110"/>
      <c r="I128" s="111"/>
      <c r="J128" s="112"/>
      <c r="K128" s="113"/>
      <c r="L128" s="114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6"/>
      <c r="AK128" s="116"/>
      <c r="AL128" s="116"/>
      <c r="AM128" s="117"/>
      <c r="AN128" s="159">
        <f t="shared" si="38"/>
        <v>0</v>
      </c>
      <c r="AO128" s="28">
        <f t="shared" si="39"/>
        <v>0</v>
      </c>
      <c r="AP128" s="28"/>
      <c r="AQ128" s="28">
        <f>C128</f>
        <v>0</v>
      </c>
      <c r="AR128" s="215">
        <f t="shared" si="23"/>
        <v>0</v>
      </c>
      <c r="AS128" s="215">
        <f t="shared" si="28"/>
        <v>1900</v>
      </c>
      <c r="AT128" s="215">
        <f t="shared" si="29"/>
        <v>0</v>
      </c>
      <c r="AU128">
        <f t="shared" si="24"/>
        <v>42</v>
      </c>
      <c r="AW128" s="77">
        <f t="shared" si="30"/>
        <v>0</v>
      </c>
      <c r="BQ128" s="14" t="s">
        <v>258</v>
      </c>
      <c r="BR128" s="14" t="str">
        <f t="shared" si="25"/>
        <v>Pessl Matin</v>
      </c>
      <c r="BS128" s="14">
        <v>1998</v>
      </c>
      <c r="BT128" s="14" t="s">
        <v>0</v>
      </c>
      <c r="BU128" s="1">
        <v>36</v>
      </c>
    </row>
    <row r="129" spans="1:73" ht="15.75">
      <c r="A129" s="79">
        <f t="shared" si="36"/>
        <v>43</v>
      </c>
      <c r="B129" s="152">
        <f t="shared" si="31"/>
        <v>0</v>
      </c>
      <c r="C129" s="81">
        <f t="shared" si="37"/>
        <v>0</v>
      </c>
      <c r="D129" s="163"/>
      <c r="E129" s="109"/>
      <c r="F129" s="164"/>
      <c r="G129" s="86"/>
      <c r="H129" s="110"/>
      <c r="I129" s="111"/>
      <c r="J129" s="112"/>
      <c r="K129" s="113"/>
      <c r="L129" s="114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6"/>
      <c r="AK129" s="116"/>
      <c r="AL129" s="116"/>
      <c r="AM129" s="117"/>
      <c r="AN129" s="159">
        <f t="shared" si="38"/>
        <v>0</v>
      </c>
      <c r="AO129" s="28">
        <f t="shared" si="39"/>
        <v>0</v>
      </c>
      <c r="AP129" s="28"/>
      <c r="AQ129" s="28">
        <f>C129</f>
        <v>0</v>
      </c>
      <c r="AR129" s="215">
        <f t="shared" si="23"/>
        <v>0</v>
      </c>
      <c r="AS129" s="215">
        <f t="shared" si="28"/>
        <v>1900</v>
      </c>
      <c r="AT129" s="215">
        <f t="shared" si="29"/>
        <v>0</v>
      </c>
      <c r="AU129">
        <f t="shared" si="24"/>
        <v>43</v>
      </c>
      <c r="AW129" s="77">
        <f t="shared" si="30"/>
        <v>0</v>
      </c>
      <c r="BQ129" s="14" t="s">
        <v>259</v>
      </c>
      <c r="BR129" s="14" t="str">
        <f t="shared" si="25"/>
        <v>Polák Juraj</v>
      </c>
      <c r="BS129" s="14">
        <v>1998</v>
      </c>
      <c r="BT129" s="14" t="s">
        <v>55</v>
      </c>
      <c r="BU129" s="1">
        <v>36</v>
      </c>
    </row>
    <row r="130" spans="1:73" ht="15.75">
      <c r="A130" s="79">
        <f t="shared" si="36"/>
        <v>44</v>
      </c>
      <c r="B130" s="152">
        <f t="shared" si="31"/>
        <v>0</v>
      </c>
      <c r="C130" s="81">
        <f t="shared" si="37"/>
        <v>0</v>
      </c>
      <c r="D130" s="163"/>
      <c r="E130" s="109"/>
      <c r="F130" s="164"/>
      <c r="G130" s="86"/>
      <c r="H130" s="110"/>
      <c r="I130" s="111"/>
      <c r="J130" s="112"/>
      <c r="K130" s="113"/>
      <c r="L130" s="114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6"/>
      <c r="AK130" s="116"/>
      <c r="AL130" s="116"/>
      <c r="AM130" s="117"/>
      <c r="AN130" s="159">
        <f t="shared" si="38"/>
        <v>0</v>
      </c>
      <c r="AO130" s="28">
        <f t="shared" si="39"/>
        <v>0</v>
      </c>
      <c r="AP130" s="28"/>
      <c r="AQ130" s="28">
        <f>C130</f>
        <v>0</v>
      </c>
      <c r="AR130" s="215">
        <f t="shared" si="23"/>
        <v>0</v>
      </c>
      <c r="AS130" s="215">
        <f t="shared" si="28"/>
        <v>1900</v>
      </c>
      <c r="AT130" s="215">
        <f t="shared" si="29"/>
        <v>0</v>
      </c>
      <c r="AU130">
        <f t="shared" si="24"/>
        <v>44</v>
      </c>
      <c r="AW130" s="77">
        <f t="shared" si="30"/>
        <v>0</v>
      </c>
      <c r="BQ130" s="14" t="s">
        <v>89</v>
      </c>
      <c r="BR130" s="14" t="str">
        <f t="shared" si="25"/>
        <v>Palkovič Samuel</v>
      </c>
      <c r="BS130" s="14">
        <v>1998</v>
      </c>
      <c r="BT130" s="14" t="s">
        <v>87</v>
      </c>
      <c r="BU130" s="1">
        <v>44</v>
      </c>
    </row>
    <row r="131" spans="1:73" ht="15.75">
      <c r="A131" s="79">
        <f t="shared" si="36"/>
        <v>45</v>
      </c>
      <c r="B131" s="152">
        <f t="shared" si="31"/>
        <v>0</v>
      </c>
      <c r="C131" s="81">
        <f t="shared" si="37"/>
        <v>0</v>
      </c>
      <c r="D131" s="163"/>
      <c r="E131" s="109"/>
      <c r="F131" s="164"/>
      <c r="G131" s="86"/>
      <c r="H131" s="110"/>
      <c r="I131" s="111"/>
      <c r="J131" s="112"/>
      <c r="K131" s="113"/>
      <c r="L131" s="114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6"/>
      <c r="AK131" s="116"/>
      <c r="AL131" s="116"/>
      <c r="AM131" s="117"/>
      <c r="AN131" s="159">
        <f t="shared" si="38"/>
        <v>0</v>
      </c>
      <c r="AO131" s="28">
        <f t="shared" si="39"/>
        <v>0</v>
      </c>
      <c r="AP131" s="28"/>
      <c r="AQ131" s="28">
        <f>C131</f>
        <v>0</v>
      </c>
      <c r="AR131" s="215">
        <f t="shared" si="23"/>
        <v>0</v>
      </c>
      <c r="AS131" s="215">
        <f t="shared" si="28"/>
        <v>1900</v>
      </c>
      <c r="AT131" s="215">
        <f t="shared" si="29"/>
        <v>0</v>
      </c>
      <c r="AU131">
        <f t="shared" si="24"/>
        <v>45</v>
      </c>
      <c r="AW131" s="77">
        <f t="shared" si="30"/>
        <v>0</v>
      </c>
      <c r="BQ131" s="14" t="s">
        <v>260</v>
      </c>
      <c r="BR131" s="14" t="str">
        <f t="shared" si="25"/>
        <v>Macinský Alexander</v>
      </c>
      <c r="BS131" s="14">
        <v>1998</v>
      </c>
      <c r="BT131" s="14" t="s">
        <v>55</v>
      </c>
      <c r="BU131" s="1">
        <v>44</v>
      </c>
    </row>
    <row r="132" spans="1:73" ht="15.75">
      <c r="A132" s="79">
        <f t="shared" si="36"/>
        <v>46</v>
      </c>
      <c r="B132" s="152">
        <f t="shared" si="31"/>
        <v>0</v>
      </c>
      <c r="C132" s="81">
        <f t="shared" si="37"/>
        <v>0</v>
      </c>
      <c r="D132" s="163"/>
      <c r="E132" s="109"/>
      <c r="F132" s="164"/>
      <c r="G132" s="86"/>
      <c r="H132" s="110"/>
      <c r="I132" s="111"/>
      <c r="J132" s="112"/>
      <c r="K132" s="113"/>
      <c r="L132" s="114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6"/>
      <c r="AK132" s="116"/>
      <c r="AL132" s="116"/>
      <c r="AM132" s="117"/>
      <c r="AN132" s="159">
        <f t="shared" si="38"/>
        <v>0</v>
      </c>
      <c r="AO132" s="28">
        <f t="shared" si="39"/>
        <v>0</v>
      </c>
      <c r="AP132" s="28"/>
      <c r="AQ132" s="28">
        <f>C132</f>
        <v>0</v>
      </c>
      <c r="AR132" s="215">
        <f t="shared" si="23"/>
        <v>0</v>
      </c>
      <c r="AS132" s="215">
        <f t="shared" si="28"/>
        <v>1900</v>
      </c>
      <c r="AT132" s="215">
        <f t="shared" si="29"/>
        <v>0</v>
      </c>
      <c r="AU132">
        <f t="shared" si="24"/>
        <v>46</v>
      </c>
      <c r="AW132" s="77">
        <f t="shared" si="30"/>
        <v>0</v>
      </c>
      <c r="BQ132" s="14" t="s">
        <v>85</v>
      </c>
      <c r="BR132" s="14" t="str">
        <f t="shared" si="25"/>
        <v>Bednárik Marek</v>
      </c>
      <c r="BS132" s="14">
        <v>1998</v>
      </c>
      <c r="BT132" s="14" t="s">
        <v>0</v>
      </c>
      <c r="BU132" s="1">
        <v>46</v>
      </c>
    </row>
    <row r="133" spans="1:73" ht="15.75">
      <c r="A133" s="79">
        <f t="shared" si="36"/>
        <v>47</v>
      </c>
      <c r="B133" s="152">
        <f t="shared" si="31"/>
        <v>0</v>
      </c>
      <c r="C133" s="81">
        <f t="shared" si="37"/>
        <v>0</v>
      </c>
      <c r="D133" s="83"/>
      <c r="E133" s="109"/>
      <c r="F133" s="164"/>
      <c r="G133" s="86"/>
      <c r="H133" s="110"/>
      <c r="I133" s="111"/>
      <c r="J133" s="112"/>
      <c r="K133" s="113"/>
      <c r="L133" s="114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6"/>
      <c r="AK133" s="116"/>
      <c r="AL133" s="116"/>
      <c r="AM133" s="117"/>
      <c r="AN133" s="159">
        <f t="shared" si="38"/>
        <v>0</v>
      </c>
      <c r="AO133" s="28">
        <f t="shared" si="39"/>
        <v>0</v>
      </c>
      <c r="AP133" s="28"/>
      <c r="AQ133" s="28">
        <f>C133</f>
        <v>0</v>
      </c>
      <c r="AR133" s="215">
        <f t="shared" si="23"/>
        <v>0</v>
      </c>
      <c r="AS133" s="215">
        <f t="shared" si="28"/>
        <v>1900</v>
      </c>
      <c r="AT133" s="215">
        <f t="shared" si="29"/>
        <v>0</v>
      </c>
      <c r="AU133">
        <f t="shared" si="24"/>
        <v>47</v>
      </c>
      <c r="AW133" s="77">
        <f t="shared" si="30"/>
        <v>0</v>
      </c>
      <c r="BQ133" s="14" t="s">
        <v>67</v>
      </c>
      <c r="BR133" s="14" t="str">
        <f t="shared" si="25"/>
        <v>Domin Vladislav</v>
      </c>
      <c r="BS133" s="14">
        <v>1997</v>
      </c>
      <c r="BT133" s="14" t="s">
        <v>55</v>
      </c>
      <c r="BU133" s="1">
        <v>46</v>
      </c>
    </row>
    <row r="134" spans="1:73" ht="15.75">
      <c r="A134" s="79">
        <f t="shared" si="36"/>
        <v>48</v>
      </c>
      <c r="B134" s="152">
        <f t="shared" si="31"/>
        <v>0</v>
      </c>
      <c r="C134" s="81">
        <f t="shared" si="37"/>
        <v>0</v>
      </c>
      <c r="D134" s="83"/>
      <c r="E134" s="109"/>
      <c r="F134" s="164"/>
      <c r="G134" s="86"/>
      <c r="H134" s="110"/>
      <c r="I134" s="111"/>
      <c r="J134" s="112"/>
      <c r="K134" s="113"/>
      <c r="L134" s="114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6"/>
      <c r="AK134" s="116"/>
      <c r="AL134" s="116"/>
      <c r="AM134" s="117"/>
      <c r="AN134" s="159">
        <f t="shared" si="38"/>
        <v>0</v>
      </c>
      <c r="AO134" s="28">
        <f t="shared" si="39"/>
        <v>0</v>
      </c>
      <c r="AP134" s="28"/>
      <c r="AQ134" s="28">
        <f>C134</f>
        <v>0</v>
      </c>
      <c r="AR134" s="215">
        <f t="shared" si="23"/>
        <v>0</v>
      </c>
      <c r="AS134" s="215">
        <f t="shared" si="28"/>
        <v>1900</v>
      </c>
      <c r="AT134" s="215">
        <f t="shared" si="29"/>
        <v>0</v>
      </c>
      <c r="AU134">
        <f t="shared" si="24"/>
        <v>48</v>
      </c>
      <c r="AW134" s="77">
        <f t="shared" si="30"/>
        <v>0</v>
      </c>
      <c r="BQ134" s="14" t="s">
        <v>261</v>
      </c>
      <c r="BR134" s="14" t="str">
        <f t="shared" si="25"/>
        <v>Gašparovič Samuel</v>
      </c>
      <c r="BS134" s="14">
        <v>1998</v>
      </c>
      <c r="BT134" s="14" t="s">
        <v>206</v>
      </c>
      <c r="BU134" s="1">
        <v>48</v>
      </c>
    </row>
    <row r="135" spans="1:73" ht="15.75">
      <c r="A135" s="79">
        <f t="shared" si="36"/>
        <v>49</v>
      </c>
      <c r="B135" s="152">
        <f t="shared" si="31"/>
        <v>0</v>
      </c>
      <c r="C135" s="81">
        <f t="shared" si="37"/>
        <v>0</v>
      </c>
      <c r="D135" s="163"/>
      <c r="E135" s="109"/>
      <c r="F135" s="164"/>
      <c r="G135" s="86"/>
      <c r="H135" s="111"/>
      <c r="I135" s="111"/>
      <c r="J135" s="112"/>
      <c r="K135" s="113"/>
      <c r="L135" s="114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6"/>
      <c r="AK135" s="116"/>
      <c r="AL135" s="116"/>
      <c r="AM135" s="117"/>
      <c r="AN135" s="159">
        <f t="shared" si="38"/>
        <v>0</v>
      </c>
      <c r="AO135" s="28">
        <f t="shared" si="39"/>
        <v>0</v>
      </c>
      <c r="AP135" s="28"/>
      <c r="AQ135" s="28">
        <f aca="true" t="shared" si="40" ref="AQ135:AQ145">C135</f>
        <v>0</v>
      </c>
      <c r="AR135" s="215">
        <f aca="true" t="shared" si="41" ref="AR135:AR198">D135</f>
        <v>0</v>
      </c>
      <c r="AS135" s="215">
        <f t="shared" si="28"/>
        <v>1900</v>
      </c>
      <c r="AT135" s="215">
        <f t="shared" si="29"/>
        <v>0</v>
      </c>
      <c r="AU135">
        <f aca="true" t="shared" si="42" ref="AU135:AU198">A135</f>
        <v>49</v>
      </c>
      <c r="AW135" s="77">
        <f t="shared" si="30"/>
        <v>0</v>
      </c>
      <c r="BQ135" s="14" t="s">
        <v>262</v>
      </c>
      <c r="BR135" s="14" t="str">
        <f t="shared" si="25"/>
        <v>Slezák Michal</v>
      </c>
      <c r="BS135" s="14">
        <v>1997</v>
      </c>
      <c r="BT135" s="14" t="s">
        <v>87</v>
      </c>
      <c r="BU135" s="1">
        <v>48</v>
      </c>
    </row>
    <row r="136" spans="1:73" ht="15.75">
      <c r="A136" s="79">
        <f t="shared" si="36"/>
        <v>50</v>
      </c>
      <c r="B136" s="152">
        <f t="shared" si="31"/>
        <v>0</v>
      </c>
      <c r="C136" s="81">
        <f t="shared" si="37"/>
        <v>0</v>
      </c>
      <c r="D136" s="163"/>
      <c r="E136" s="109"/>
      <c r="F136" s="164"/>
      <c r="G136" s="86"/>
      <c r="H136" s="110"/>
      <c r="I136" s="111"/>
      <c r="J136" s="112"/>
      <c r="K136" s="113"/>
      <c r="L136" s="114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6"/>
      <c r="AK136" s="116"/>
      <c r="AL136" s="116"/>
      <c r="AM136" s="117"/>
      <c r="AN136" s="159">
        <f t="shared" si="38"/>
        <v>0</v>
      </c>
      <c r="AO136" s="28">
        <f t="shared" si="39"/>
        <v>0</v>
      </c>
      <c r="AP136" s="28"/>
      <c r="AQ136" s="28">
        <f t="shared" si="40"/>
        <v>0</v>
      </c>
      <c r="AR136" s="215">
        <f t="shared" si="41"/>
        <v>0</v>
      </c>
      <c r="AS136" s="215">
        <f t="shared" si="28"/>
        <v>1900</v>
      </c>
      <c r="AT136" s="215">
        <f t="shared" si="29"/>
        <v>0</v>
      </c>
      <c r="AU136">
        <f t="shared" si="42"/>
        <v>50</v>
      </c>
      <c r="AW136" s="77">
        <f t="shared" si="30"/>
        <v>0</v>
      </c>
      <c r="BQ136" s="14" t="s">
        <v>80</v>
      </c>
      <c r="BR136" s="14" t="str">
        <f aca="true" t="shared" si="43" ref="BR136:BR199">TRIM(BQ136)</f>
        <v>Siegel Dávid</v>
      </c>
      <c r="BS136" s="14">
        <v>1998</v>
      </c>
      <c r="BT136" s="14" t="s">
        <v>55</v>
      </c>
      <c r="BU136" s="1">
        <v>50</v>
      </c>
    </row>
    <row r="137" spans="1:73" ht="15.75">
      <c r="A137" s="79">
        <f t="shared" si="36"/>
        <v>51</v>
      </c>
      <c r="B137" s="152">
        <f t="shared" si="31"/>
        <v>0</v>
      </c>
      <c r="C137" s="81">
        <f t="shared" si="37"/>
        <v>0</v>
      </c>
      <c r="D137" s="163"/>
      <c r="E137" s="109"/>
      <c r="F137" s="164"/>
      <c r="G137" s="86"/>
      <c r="H137" s="111"/>
      <c r="I137" s="111"/>
      <c r="J137" s="112"/>
      <c r="K137" s="113"/>
      <c r="L137" s="114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6"/>
      <c r="AK137" s="116"/>
      <c r="AL137" s="116"/>
      <c r="AM137" s="117"/>
      <c r="AN137" s="159">
        <f t="shared" si="38"/>
        <v>0</v>
      </c>
      <c r="AO137" s="28">
        <f t="shared" si="39"/>
        <v>0</v>
      </c>
      <c r="AP137" s="28"/>
      <c r="AQ137" s="28">
        <f t="shared" si="40"/>
        <v>0</v>
      </c>
      <c r="AR137" s="215">
        <f t="shared" si="41"/>
        <v>0</v>
      </c>
      <c r="AS137" s="215">
        <f t="shared" si="28"/>
        <v>1900</v>
      </c>
      <c r="AT137" s="215">
        <f t="shared" si="29"/>
        <v>0</v>
      </c>
      <c r="AU137">
        <f t="shared" si="42"/>
        <v>51</v>
      </c>
      <c r="AW137" s="77">
        <f t="shared" si="30"/>
        <v>0</v>
      </c>
      <c r="BQ137" s="14" t="s">
        <v>263</v>
      </c>
      <c r="BR137" s="14" t="str">
        <f t="shared" si="43"/>
        <v>Verníček Viliam</v>
      </c>
      <c r="BS137" s="14">
        <v>1900</v>
      </c>
      <c r="BT137" s="14" t="s">
        <v>145</v>
      </c>
      <c r="BU137" s="1">
        <v>50</v>
      </c>
    </row>
    <row r="138" spans="1:73" ht="15.75">
      <c r="A138" s="79">
        <f t="shared" si="36"/>
        <v>52</v>
      </c>
      <c r="B138" s="152">
        <f t="shared" si="31"/>
        <v>0</v>
      </c>
      <c r="C138" s="81">
        <f t="shared" si="37"/>
        <v>0</v>
      </c>
      <c r="D138" s="163"/>
      <c r="E138" s="109"/>
      <c r="F138" s="164"/>
      <c r="G138" s="86"/>
      <c r="H138" s="110"/>
      <c r="I138" s="111"/>
      <c r="J138" s="112"/>
      <c r="K138" s="113"/>
      <c r="L138" s="114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6"/>
      <c r="AK138" s="116"/>
      <c r="AL138" s="116"/>
      <c r="AM138" s="117"/>
      <c r="AN138" s="159">
        <f t="shared" si="38"/>
        <v>0</v>
      </c>
      <c r="AO138" s="28">
        <f t="shared" si="39"/>
        <v>0</v>
      </c>
      <c r="AP138" s="28"/>
      <c r="AQ138" s="28">
        <f t="shared" si="40"/>
        <v>0</v>
      </c>
      <c r="AR138" s="215">
        <f t="shared" si="41"/>
        <v>0</v>
      </c>
      <c r="AS138" s="215">
        <f t="shared" si="28"/>
        <v>1900</v>
      </c>
      <c r="AT138" s="215">
        <f t="shared" si="29"/>
        <v>0</v>
      </c>
      <c r="AU138">
        <f t="shared" si="42"/>
        <v>52</v>
      </c>
      <c r="AW138" s="77">
        <f t="shared" si="30"/>
        <v>0</v>
      </c>
      <c r="BQ138" s="14" t="s">
        <v>111</v>
      </c>
      <c r="BR138" s="14" t="str">
        <f t="shared" si="43"/>
        <v>Bagin Adam</v>
      </c>
      <c r="BS138" s="14">
        <v>1997</v>
      </c>
      <c r="BT138" s="14" t="s">
        <v>87</v>
      </c>
      <c r="BU138" s="1">
        <v>50</v>
      </c>
    </row>
    <row r="139" spans="1:73" ht="15.75">
      <c r="A139" s="79">
        <f t="shared" si="36"/>
        <v>53</v>
      </c>
      <c r="B139" s="152">
        <f t="shared" si="31"/>
        <v>0</v>
      </c>
      <c r="C139" s="81">
        <f t="shared" si="37"/>
        <v>0</v>
      </c>
      <c r="D139" s="163"/>
      <c r="E139" s="109"/>
      <c r="F139" s="164"/>
      <c r="G139" s="86"/>
      <c r="H139" s="110"/>
      <c r="I139" s="111"/>
      <c r="J139" s="112"/>
      <c r="K139" s="113"/>
      <c r="L139" s="114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6"/>
      <c r="AK139" s="116"/>
      <c r="AL139" s="116"/>
      <c r="AM139" s="117"/>
      <c r="AN139" s="159">
        <f t="shared" si="38"/>
        <v>0</v>
      </c>
      <c r="AO139" s="28">
        <f t="shared" si="39"/>
        <v>0</v>
      </c>
      <c r="AP139" s="28"/>
      <c r="AQ139" s="28">
        <f t="shared" si="40"/>
        <v>0</v>
      </c>
      <c r="AR139" s="215">
        <f t="shared" si="41"/>
        <v>0</v>
      </c>
      <c r="AS139" s="215">
        <f t="shared" si="28"/>
        <v>1900</v>
      </c>
      <c r="AT139" s="215">
        <f t="shared" si="29"/>
        <v>0</v>
      </c>
      <c r="AU139">
        <f t="shared" si="42"/>
        <v>53</v>
      </c>
      <c r="AW139" s="77">
        <f t="shared" si="30"/>
        <v>0</v>
      </c>
      <c r="BQ139" s="14" t="s">
        <v>32</v>
      </c>
      <c r="BR139" s="14" t="str">
        <f t="shared" si="43"/>
        <v>Cichý Peter</v>
      </c>
      <c r="BS139" s="14">
        <v>1997</v>
      </c>
      <c r="BT139" s="14" t="s">
        <v>0</v>
      </c>
      <c r="BU139" s="1">
        <v>50</v>
      </c>
    </row>
    <row r="140" spans="1:73" ht="16.5" thickBot="1">
      <c r="A140" s="118">
        <f t="shared" si="36"/>
        <v>54</v>
      </c>
      <c r="B140" s="165">
        <f t="shared" si="31"/>
        <v>0</v>
      </c>
      <c r="C140" s="120">
        <f t="shared" si="37"/>
        <v>0</v>
      </c>
      <c r="D140" s="122"/>
      <c r="E140" s="166"/>
      <c r="F140" s="184"/>
      <c r="G140" s="125"/>
      <c r="H140" s="121"/>
      <c r="I140" s="126"/>
      <c r="J140" s="127"/>
      <c r="K140" s="128"/>
      <c r="L140" s="129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2"/>
      <c r="AK140" s="132"/>
      <c r="AL140" s="132"/>
      <c r="AM140" s="133"/>
      <c r="AN140" s="134">
        <f t="shared" si="38"/>
        <v>0</v>
      </c>
      <c r="AO140" s="28">
        <f t="shared" si="39"/>
        <v>0</v>
      </c>
      <c r="AP140" s="28"/>
      <c r="AQ140" s="28">
        <f t="shared" si="40"/>
        <v>0</v>
      </c>
      <c r="AR140" s="215">
        <f t="shared" si="41"/>
        <v>0</v>
      </c>
      <c r="AS140" s="215">
        <f t="shared" si="28"/>
        <v>1900</v>
      </c>
      <c r="AT140" s="215">
        <f t="shared" si="29"/>
        <v>0</v>
      </c>
      <c r="AU140">
        <f t="shared" si="42"/>
        <v>54</v>
      </c>
      <c r="AW140" s="77">
        <f t="shared" si="30"/>
        <v>0</v>
      </c>
      <c r="BQ140" s="14" t="s">
        <v>62</v>
      </c>
      <c r="BR140" s="14" t="str">
        <f t="shared" si="43"/>
        <v>Nejedlík Andrej</v>
      </c>
      <c r="BS140" s="14">
        <v>1998</v>
      </c>
      <c r="BT140" s="14" t="s">
        <v>55</v>
      </c>
      <c r="BU140" s="1">
        <v>50</v>
      </c>
    </row>
    <row r="141" spans="1:73" ht="16.5" thickBot="1">
      <c r="A141" s="39"/>
      <c r="B141" s="37"/>
      <c r="C141" s="30"/>
      <c r="D141" s="14"/>
      <c r="E141" s="77"/>
      <c r="F141" s="14"/>
      <c r="G141" s="167"/>
      <c r="H141" s="168"/>
      <c r="I141" s="35"/>
      <c r="J141" s="168">
        <f>COUNT(J87:J124)</f>
        <v>0</v>
      </c>
      <c r="K141" s="28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28"/>
      <c r="AK141" s="28"/>
      <c r="AL141" s="28"/>
      <c r="AM141" s="28"/>
      <c r="AN141" s="28"/>
      <c r="AO141" s="28">
        <f>SUM(L141:AL141)</f>
        <v>0</v>
      </c>
      <c r="AP141" s="28"/>
      <c r="AQ141" s="28">
        <f t="shared" si="40"/>
        <v>0</v>
      </c>
      <c r="AR141" s="215">
        <f t="shared" si="41"/>
        <v>0</v>
      </c>
      <c r="AS141" s="215">
        <f t="shared" si="28"/>
        <v>1900</v>
      </c>
      <c r="AT141" s="215">
        <f t="shared" si="29"/>
        <v>0</v>
      </c>
      <c r="AU141">
        <f t="shared" si="42"/>
        <v>0</v>
      </c>
      <c r="AW141" s="77">
        <f t="shared" si="30"/>
        <v>0</v>
      </c>
      <c r="BQ141" s="14" t="s">
        <v>39</v>
      </c>
      <c r="BR141" s="14" t="str">
        <f t="shared" si="43"/>
        <v>Sulejman Michael</v>
      </c>
      <c r="BS141" s="14">
        <v>1997</v>
      </c>
      <c r="BT141" s="14" t="s">
        <v>0</v>
      </c>
      <c r="BU141" s="1">
        <v>50</v>
      </c>
    </row>
    <row r="142" spans="1:73" ht="18.75" thickBot="1">
      <c r="A142" s="15" t="s">
        <v>181</v>
      </c>
      <c r="B142" s="16"/>
      <c r="C142" s="17"/>
      <c r="D142" s="18"/>
      <c r="E142" s="19"/>
      <c r="F142" s="18"/>
      <c r="G142" s="21"/>
      <c r="H142" s="170"/>
      <c r="I142" s="23"/>
      <c r="J142" s="171"/>
      <c r="AO142" s="28">
        <f>SUM(L142:AL142)</f>
        <v>0</v>
      </c>
      <c r="AP142" s="28"/>
      <c r="AQ142" s="28">
        <f t="shared" si="40"/>
        <v>0</v>
      </c>
      <c r="AR142" s="215">
        <f t="shared" si="41"/>
        <v>0</v>
      </c>
      <c r="AS142" s="215">
        <f t="shared" si="28"/>
        <v>1900</v>
      </c>
      <c r="AT142" s="215">
        <f t="shared" si="29"/>
        <v>0</v>
      </c>
      <c r="AU142" t="str">
        <f t="shared" si="42"/>
        <v>Najmladšie žiactvo</v>
      </c>
      <c r="AW142" s="77">
        <f t="shared" si="30"/>
        <v>0</v>
      </c>
      <c r="BQ142" s="14" t="s">
        <v>112</v>
      </c>
      <c r="BR142" s="14" t="str">
        <f t="shared" si="43"/>
        <v>Šagát Martin</v>
      </c>
      <c r="BS142" s="14">
        <v>1997</v>
      </c>
      <c r="BT142" s="14" t="s">
        <v>87</v>
      </c>
      <c r="BU142" s="1">
        <v>50</v>
      </c>
    </row>
    <row r="143" spans="1:73" ht="18.75" thickBot="1">
      <c r="A143" s="29"/>
      <c r="B143" s="27"/>
      <c r="C143" s="30"/>
      <c r="D143" s="26"/>
      <c r="E143" s="31"/>
      <c r="F143" s="32"/>
      <c r="G143" s="33" t="s">
        <v>166</v>
      </c>
      <c r="H143" s="34"/>
      <c r="I143" s="35"/>
      <c r="J143" s="36"/>
      <c r="K143" s="34"/>
      <c r="L143" s="245" t="s">
        <v>167</v>
      </c>
      <c r="M143" s="233"/>
      <c r="N143" s="233"/>
      <c r="O143" s="233"/>
      <c r="P143" s="233"/>
      <c r="Q143" s="233"/>
      <c r="R143" s="234"/>
      <c r="S143" s="234"/>
      <c r="T143" s="234"/>
      <c r="U143" s="234"/>
      <c r="V143" s="234"/>
      <c r="W143" s="234"/>
      <c r="X143" s="234"/>
      <c r="Y143" s="234"/>
      <c r="Z143" s="234"/>
      <c r="AA143" s="234"/>
      <c r="AB143" s="234"/>
      <c r="AC143" s="234"/>
      <c r="AD143" s="234"/>
      <c r="AE143" s="234"/>
      <c r="AF143" s="234"/>
      <c r="AG143" s="234"/>
      <c r="AH143" s="234"/>
      <c r="AI143" s="234"/>
      <c r="AJ143" s="234"/>
      <c r="AK143" s="234"/>
      <c r="AL143" s="234"/>
      <c r="AM143" s="235"/>
      <c r="AO143" s="28">
        <f>SUM(L143:AL143)</f>
        <v>0</v>
      </c>
      <c r="AP143" s="28"/>
      <c r="AQ143" s="28">
        <f t="shared" si="40"/>
        <v>0</v>
      </c>
      <c r="AR143" s="215">
        <f t="shared" si="41"/>
        <v>0</v>
      </c>
      <c r="AS143" s="215">
        <f t="shared" si="28"/>
        <v>1900</v>
      </c>
      <c r="AT143" s="215">
        <f t="shared" si="29"/>
        <v>0</v>
      </c>
      <c r="AU143">
        <f t="shared" si="42"/>
        <v>0</v>
      </c>
      <c r="AW143" s="77">
        <f t="shared" si="30"/>
        <v>0</v>
      </c>
      <c r="BQ143" s="14" t="s">
        <v>245</v>
      </c>
      <c r="BR143" s="14">
        <f t="shared" si="43"/>
      </c>
      <c r="BS143" s="14">
        <v>1900</v>
      </c>
      <c r="BT143" s="14">
        <v>0</v>
      </c>
      <c r="BU143" s="1">
        <v>50</v>
      </c>
    </row>
    <row r="144" spans="1:72" ht="15.75" thickBot="1">
      <c r="A144" s="38"/>
      <c r="B144" s="236" t="s">
        <v>168</v>
      </c>
      <c r="C144" s="237"/>
      <c r="D144" s="39"/>
      <c r="E144" s="40"/>
      <c r="F144" s="32"/>
      <c r="G144" s="41" t="s">
        <v>169</v>
      </c>
      <c r="H144" s="238" t="s">
        <v>170</v>
      </c>
      <c r="I144" s="239"/>
      <c r="J144" s="240"/>
      <c r="K144" s="42"/>
      <c r="L144" s="246" t="s">
        <v>171</v>
      </c>
      <c r="M144" s="242"/>
      <c r="N144" s="242"/>
      <c r="O144" s="242"/>
      <c r="P144" s="242"/>
      <c r="Q144" s="242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  <c r="AJ144" s="243"/>
      <c r="AK144" s="243"/>
      <c r="AL144" s="243"/>
      <c r="AM144" s="244"/>
      <c r="AN144" s="146" t="s">
        <v>172</v>
      </c>
      <c r="AO144" s="28">
        <f>SUM(L144:AL144)</f>
        <v>0</v>
      </c>
      <c r="AP144" s="28"/>
      <c r="AQ144" s="28">
        <f t="shared" si="40"/>
        <v>0</v>
      </c>
      <c r="AR144" s="215">
        <f t="shared" si="41"/>
        <v>0</v>
      </c>
      <c r="AS144" s="215">
        <f t="shared" si="28"/>
        <v>1900</v>
      </c>
      <c r="AT144" s="215">
        <f t="shared" si="29"/>
        <v>0</v>
      </c>
      <c r="AU144">
        <f t="shared" si="42"/>
        <v>0</v>
      </c>
      <c r="AW144" s="77">
        <f t="shared" si="30"/>
        <v>0</v>
      </c>
      <c r="BQ144" s="14" t="s">
        <v>245</v>
      </c>
      <c r="BR144" s="14">
        <f t="shared" si="43"/>
      </c>
      <c r="BS144" s="14">
        <v>1900</v>
      </c>
      <c r="BT144" s="14">
        <v>0</v>
      </c>
    </row>
    <row r="145" spans="1:72" ht="16.5" thickBot="1">
      <c r="A145" s="147" t="s">
        <v>173</v>
      </c>
      <c r="B145" s="46" t="s">
        <v>174</v>
      </c>
      <c r="C145" s="47" t="s">
        <v>30</v>
      </c>
      <c r="D145" s="48" t="s">
        <v>183</v>
      </c>
      <c r="E145" s="148" t="s">
        <v>175</v>
      </c>
      <c r="F145" s="149" t="s">
        <v>142</v>
      </c>
      <c r="G145" s="51"/>
      <c r="H145" s="52" t="s">
        <v>176</v>
      </c>
      <c r="I145" s="53" t="s">
        <v>177</v>
      </c>
      <c r="J145" s="54" t="s">
        <v>178</v>
      </c>
      <c r="K145" s="55" t="s">
        <v>179</v>
      </c>
      <c r="L145" s="56">
        <v>1</v>
      </c>
      <c r="M145" s="57">
        <v>2</v>
      </c>
      <c r="N145" s="57">
        <f aca="true" t="shared" si="44" ref="N145:AL145">M145+1</f>
        <v>3</v>
      </c>
      <c r="O145" s="57">
        <f t="shared" si="44"/>
        <v>4</v>
      </c>
      <c r="P145" s="57">
        <f t="shared" si="44"/>
        <v>5</v>
      </c>
      <c r="Q145" s="57">
        <f t="shared" si="44"/>
        <v>6</v>
      </c>
      <c r="R145" s="57">
        <f t="shared" si="44"/>
        <v>7</v>
      </c>
      <c r="S145" s="57">
        <f t="shared" si="44"/>
        <v>8</v>
      </c>
      <c r="T145" s="57">
        <f t="shared" si="44"/>
        <v>9</v>
      </c>
      <c r="U145" s="57">
        <f t="shared" si="44"/>
        <v>10</v>
      </c>
      <c r="V145" s="57">
        <f t="shared" si="44"/>
        <v>11</v>
      </c>
      <c r="W145" s="57">
        <f t="shared" si="44"/>
        <v>12</v>
      </c>
      <c r="X145" s="57">
        <f t="shared" si="44"/>
        <v>13</v>
      </c>
      <c r="Y145" s="57">
        <f t="shared" si="44"/>
        <v>14</v>
      </c>
      <c r="Z145" s="57">
        <f t="shared" si="44"/>
        <v>15</v>
      </c>
      <c r="AA145" s="57">
        <f t="shared" si="44"/>
        <v>16</v>
      </c>
      <c r="AB145" s="57">
        <f t="shared" si="44"/>
        <v>17</v>
      </c>
      <c r="AC145" s="57">
        <f t="shared" si="44"/>
        <v>18</v>
      </c>
      <c r="AD145" s="57">
        <f t="shared" si="44"/>
        <v>19</v>
      </c>
      <c r="AE145" s="57">
        <f t="shared" si="44"/>
        <v>20</v>
      </c>
      <c r="AF145" s="57">
        <f t="shared" si="44"/>
        <v>21</v>
      </c>
      <c r="AG145" s="57">
        <f t="shared" si="44"/>
        <v>22</v>
      </c>
      <c r="AH145" s="57">
        <f t="shared" si="44"/>
        <v>23</v>
      </c>
      <c r="AI145" s="57">
        <f t="shared" si="44"/>
        <v>24</v>
      </c>
      <c r="AJ145" s="57">
        <f t="shared" si="44"/>
        <v>25</v>
      </c>
      <c r="AK145" s="57">
        <f t="shared" si="44"/>
        <v>26</v>
      </c>
      <c r="AL145" s="57">
        <f t="shared" si="44"/>
        <v>27</v>
      </c>
      <c r="AM145" s="58" t="s">
        <v>179</v>
      </c>
      <c r="AN145" s="59" t="s">
        <v>180</v>
      </c>
      <c r="AO145" s="28">
        <f>SUM(L145:AL145)</f>
        <v>378</v>
      </c>
      <c r="AP145" s="28"/>
      <c r="AQ145" s="28" t="str">
        <f t="shared" si="40"/>
        <v>jednotlivci</v>
      </c>
      <c r="AR145" s="215" t="str">
        <f t="shared" si="41"/>
        <v>Priezvisko, meno</v>
      </c>
      <c r="AS145" s="215" t="e">
        <f t="shared" si="28"/>
        <v>#VALUE!</v>
      </c>
      <c r="AT145" s="215" t="str">
        <f t="shared" si="29"/>
        <v>škola</v>
      </c>
      <c r="AU145" t="str">
        <f t="shared" si="42"/>
        <v>por</v>
      </c>
      <c r="AW145" s="77" t="str">
        <f t="shared" si="30"/>
        <v>nar.</v>
      </c>
      <c r="BQ145" s="14" t="s">
        <v>245</v>
      </c>
      <c r="BR145" s="14">
        <f t="shared" si="43"/>
      </c>
      <c r="BS145" s="14">
        <v>1900</v>
      </c>
      <c r="BT145" s="14">
        <v>0</v>
      </c>
    </row>
    <row r="146" spans="1:72" ht="15.75">
      <c r="A146" s="172">
        <v>1</v>
      </c>
      <c r="B146" s="62">
        <f aca="true" t="shared" si="45" ref="B146:B204">AN146</f>
        <v>652</v>
      </c>
      <c r="C146" s="63">
        <f aca="true" t="shared" si="46" ref="C146:C177">H146+I146+J146+AM146+AO146*$AO$1</f>
        <v>492</v>
      </c>
      <c r="D146" s="65" t="s">
        <v>114</v>
      </c>
      <c r="E146" s="151">
        <v>36865</v>
      </c>
      <c r="F146" s="67" t="s">
        <v>54</v>
      </c>
      <c r="G146" s="68">
        <v>100</v>
      </c>
      <c r="H146" s="64">
        <v>100</v>
      </c>
      <c r="I146" s="69">
        <f>100+65+65+50+32+20+20</f>
        <v>352</v>
      </c>
      <c r="J146" s="70"/>
      <c r="K146" s="173"/>
      <c r="L146" s="72"/>
      <c r="M146" s="73"/>
      <c r="N146" s="73"/>
      <c r="O146" s="73"/>
      <c r="P146" s="73">
        <f>2+20+2+20+2+32+2+20</f>
        <v>100</v>
      </c>
      <c r="Q146" s="73">
        <f>2+20+2+20+2+32+2+20</f>
        <v>100</v>
      </c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174"/>
      <c r="AH146" s="174"/>
      <c r="AI146" s="174"/>
      <c r="AJ146" s="3"/>
      <c r="AK146" s="3"/>
      <c r="AL146" s="175"/>
      <c r="AM146" s="173"/>
      <c r="AN146" s="71">
        <f aca="true" t="shared" si="47" ref="AN146:AN177">SUM(H146:AM146)</f>
        <v>652</v>
      </c>
      <c r="AO146" s="28">
        <f>SUM(L146:AL146)</f>
        <v>200</v>
      </c>
      <c r="AP146" s="28"/>
      <c r="AQ146" s="28">
        <f aca="true" t="shared" si="48" ref="AQ146:AQ177">C146</f>
        <v>492</v>
      </c>
      <c r="AR146" s="215" t="str">
        <f t="shared" si="41"/>
        <v>Gajdúšek Róbert</v>
      </c>
      <c r="AS146" s="215">
        <f t="shared" si="28"/>
        <v>2000</v>
      </c>
      <c r="AT146" s="215" t="str">
        <f t="shared" si="29"/>
        <v>Viničné</v>
      </c>
      <c r="AU146">
        <f t="shared" si="42"/>
        <v>1</v>
      </c>
      <c r="AW146" s="77">
        <f t="shared" si="30"/>
        <v>36865</v>
      </c>
      <c r="BQ146" s="14" t="s">
        <v>245</v>
      </c>
      <c r="BR146" s="14">
        <f t="shared" si="43"/>
      </c>
      <c r="BS146" s="14">
        <v>1900</v>
      </c>
      <c r="BT146" s="14">
        <v>0</v>
      </c>
    </row>
    <row r="147" spans="1:72" ht="15.75">
      <c r="A147" s="176">
        <f aca="true" t="shared" si="49" ref="A147:A200">A146+1</f>
        <v>2</v>
      </c>
      <c r="B147" s="80">
        <f t="shared" si="45"/>
        <v>535</v>
      </c>
      <c r="C147" s="81">
        <f t="shared" si="46"/>
        <v>375</v>
      </c>
      <c r="D147" s="83" t="s">
        <v>115</v>
      </c>
      <c r="E147" s="109">
        <v>37193</v>
      </c>
      <c r="F147" s="164" t="s">
        <v>54</v>
      </c>
      <c r="G147" s="86">
        <v>65</v>
      </c>
      <c r="H147" s="82">
        <v>65</v>
      </c>
      <c r="I147" s="87">
        <f>80+80+50+20+20+20</f>
        <v>270</v>
      </c>
      <c r="J147" s="88"/>
      <c r="K147" s="154"/>
      <c r="L147" s="90"/>
      <c r="M147" s="91"/>
      <c r="N147" s="91"/>
      <c r="O147" s="91"/>
      <c r="P147" s="91">
        <v>100</v>
      </c>
      <c r="Q147" s="91">
        <v>100</v>
      </c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3"/>
      <c r="AK147" s="93"/>
      <c r="AL147" s="94"/>
      <c r="AM147" s="89"/>
      <c r="AN147" s="89">
        <f t="shared" si="47"/>
        <v>535</v>
      </c>
      <c r="AO147" s="28">
        <f>SUM(L147:AL147)</f>
        <v>200</v>
      </c>
      <c r="AP147" s="28"/>
      <c r="AQ147" s="28">
        <f t="shared" si="48"/>
        <v>375</v>
      </c>
      <c r="AR147" s="215" t="str">
        <f t="shared" si="41"/>
        <v>Jalovecký Marek</v>
      </c>
      <c r="AS147" s="215">
        <f t="shared" si="28"/>
        <v>2001</v>
      </c>
      <c r="AT147" s="215" t="str">
        <f t="shared" si="29"/>
        <v>Viničné</v>
      </c>
      <c r="AU147">
        <f t="shared" si="42"/>
        <v>2</v>
      </c>
      <c r="AW147" s="77">
        <f t="shared" si="30"/>
        <v>37193</v>
      </c>
      <c r="BQ147" s="14" t="s">
        <v>245</v>
      </c>
      <c r="BR147" s="14">
        <f t="shared" si="43"/>
      </c>
      <c r="BS147" s="14">
        <v>1900</v>
      </c>
      <c r="BT147" s="14">
        <v>0</v>
      </c>
    </row>
    <row r="148" spans="1:72" ht="15.75">
      <c r="A148" s="176">
        <f t="shared" si="49"/>
        <v>3</v>
      </c>
      <c r="B148" s="152">
        <f t="shared" si="45"/>
        <v>267</v>
      </c>
      <c r="C148" s="81">
        <f t="shared" si="46"/>
        <v>267</v>
      </c>
      <c r="D148" s="83" t="s">
        <v>341</v>
      </c>
      <c r="E148" s="109">
        <v>36670</v>
      </c>
      <c r="F148" s="164" t="s">
        <v>87</v>
      </c>
      <c r="G148" s="86">
        <v>80</v>
      </c>
      <c r="H148" s="82">
        <v>80</v>
      </c>
      <c r="I148" s="87">
        <f>65+50+32+20+20</f>
        <v>187</v>
      </c>
      <c r="J148" s="88"/>
      <c r="K148" s="154"/>
      <c r="L148" s="90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177"/>
      <c r="AG148" s="177"/>
      <c r="AH148" s="177"/>
      <c r="AI148" s="177"/>
      <c r="AJ148" s="2"/>
      <c r="AK148" s="2"/>
      <c r="AL148" s="155"/>
      <c r="AM148" s="154"/>
      <c r="AN148" s="89">
        <f t="shared" si="47"/>
        <v>267</v>
      </c>
      <c r="AO148" s="28">
        <f>SUM(L148:AL148)</f>
        <v>0</v>
      </c>
      <c r="AP148" s="28"/>
      <c r="AQ148" s="28">
        <f t="shared" si="48"/>
        <v>267</v>
      </c>
      <c r="AR148" s="215" t="str">
        <f t="shared" si="41"/>
        <v>Šajty Filip</v>
      </c>
      <c r="AS148" s="215">
        <f t="shared" si="28"/>
        <v>2000</v>
      </c>
      <c r="AT148" s="215" t="str">
        <f t="shared" si="29"/>
        <v>Kupeckého</v>
      </c>
      <c r="AU148">
        <f t="shared" si="42"/>
        <v>3</v>
      </c>
      <c r="AW148" s="77">
        <f t="shared" si="30"/>
        <v>36670</v>
      </c>
      <c r="BQ148" s="14" t="s">
        <v>246</v>
      </c>
      <c r="BR148" s="14" t="str">
        <f t="shared" si="43"/>
        <v>Priezvisko Meno</v>
      </c>
      <c r="BS148" s="14" t="e">
        <v>#VALUE!</v>
      </c>
      <c r="BT148" s="14" t="s">
        <v>142</v>
      </c>
    </row>
    <row r="149" spans="1:73" ht="15.75">
      <c r="A149" s="176">
        <f t="shared" si="49"/>
        <v>4</v>
      </c>
      <c r="B149" s="152">
        <f t="shared" si="45"/>
        <v>264</v>
      </c>
      <c r="C149" s="81">
        <f t="shared" si="46"/>
        <v>264</v>
      </c>
      <c r="D149" s="83" t="s">
        <v>161</v>
      </c>
      <c r="E149" s="109">
        <v>36651</v>
      </c>
      <c r="F149" s="164" t="s">
        <v>145</v>
      </c>
      <c r="G149" s="86">
        <v>65</v>
      </c>
      <c r="H149" s="82">
        <v>65</v>
      </c>
      <c r="I149" s="87">
        <f>65+50+32+20+32</f>
        <v>199</v>
      </c>
      <c r="J149" s="88"/>
      <c r="K149" s="89"/>
      <c r="L149" s="90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177"/>
      <c r="AG149" s="177"/>
      <c r="AH149" s="177"/>
      <c r="AI149" s="177"/>
      <c r="AJ149" s="2"/>
      <c r="AK149" s="2"/>
      <c r="AL149" s="155"/>
      <c r="AM149" s="154"/>
      <c r="AN149" s="89">
        <f t="shared" si="47"/>
        <v>264</v>
      </c>
      <c r="AO149" s="28">
        <f>SUM(L149:AL149)</f>
        <v>0</v>
      </c>
      <c r="AP149" s="28"/>
      <c r="AQ149" s="28">
        <f t="shared" si="48"/>
        <v>264</v>
      </c>
      <c r="AR149" s="215" t="str">
        <f t="shared" si="41"/>
        <v>Plško Juraj</v>
      </c>
      <c r="AS149" s="215">
        <f t="shared" si="28"/>
        <v>2000</v>
      </c>
      <c r="AT149" s="215" t="str">
        <f t="shared" si="29"/>
        <v>Orešie</v>
      </c>
      <c r="AU149">
        <f t="shared" si="42"/>
        <v>4</v>
      </c>
      <c r="AW149" s="77">
        <f t="shared" si="30"/>
        <v>36651</v>
      </c>
      <c r="BQ149" s="14" t="s">
        <v>128</v>
      </c>
      <c r="BR149" s="14" t="str">
        <f t="shared" si="43"/>
        <v>Kostrian Matúš</v>
      </c>
      <c r="BS149" s="14">
        <v>1999</v>
      </c>
      <c r="BT149" s="14" t="s">
        <v>87</v>
      </c>
      <c r="BU149" s="1">
        <v>1</v>
      </c>
    </row>
    <row r="150" spans="1:73" ht="15.75">
      <c r="A150" s="176">
        <f t="shared" si="49"/>
        <v>5</v>
      </c>
      <c r="B150" s="152">
        <f t="shared" si="45"/>
        <v>184</v>
      </c>
      <c r="C150" s="81">
        <f t="shared" si="46"/>
        <v>184</v>
      </c>
      <c r="D150" s="83" t="s">
        <v>357</v>
      </c>
      <c r="E150" s="109">
        <v>36829</v>
      </c>
      <c r="F150" s="164" t="s">
        <v>0</v>
      </c>
      <c r="G150" s="86">
        <v>50</v>
      </c>
      <c r="H150" s="82">
        <v>50</v>
      </c>
      <c r="I150" s="87">
        <f>50+32+20+32</f>
        <v>134</v>
      </c>
      <c r="J150" s="88"/>
      <c r="K150" s="89"/>
      <c r="L150" s="90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3"/>
      <c r="AK150" s="93"/>
      <c r="AL150" s="94"/>
      <c r="AM150" s="89"/>
      <c r="AN150" s="89">
        <f t="shared" si="47"/>
        <v>184</v>
      </c>
      <c r="AO150" s="28"/>
      <c r="AP150" s="28"/>
      <c r="AQ150" s="28">
        <f t="shared" si="48"/>
        <v>184</v>
      </c>
      <c r="AR150" s="215" t="str">
        <f t="shared" si="41"/>
        <v>Gravina Patrizio</v>
      </c>
      <c r="AS150" s="215">
        <f aca="true" t="shared" si="50" ref="AS150:AS213">YEAR(AW150)</f>
        <v>2000</v>
      </c>
      <c r="AT150" s="215" t="str">
        <f aca="true" t="shared" si="51" ref="AT150:AT213">F150</f>
        <v>Bielenisko</v>
      </c>
      <c r="AU150">
        <f t="shared" si="42"/>
        <v>5</v>
      </c>
      <c r="AW150" s="77">
        <f aca="true" t="shared" si="52" ref="AW150:AW213">E150</f>
        <v>36829</v>
      </c>
      <c r="BQ150" s="14" t="s">
        <v>264</v>
      </c>
      <c r="BR150" s="14" t="str">
        <f t="shared" si="43"/>
        <v>Vitek Daniel</v>
      </c>
      <c r="BS150" s="14">
        <v>1999</v>
      </c>
      <c r="BT150" s="14" t="s">
        <v>0</v>
      </c>
      <c r="BU150" s="1">
        <v>2</v>
      </c>
    </row>
    <row r="151" spans="1:73" ht="15.75">
      <c r="A151" s="176">
        <f t="shared" si="49"/>
        <v>6</v>
      </c>
      <c r="B151" s="152">
        <f t="shared" si="45"/>
        <v>262</v>
      </c>
      <c r="C151" s="81">
        <f t="shared" si="46"/>
        <v>180.4</v>
      </c>
      <c r="D151" s="83" t="s">
        <v>116</v>
      </c>
      <c r="E151" s="109">
        <v>37785</v>
      </c>
      <c r="F151" s="164" t="s">
        <v>54</v>
      </c>
      <c r="G151" s="86">
        <v>50</v>
      </c>
      <c r="H151" s="82">
        <v>50</v>
      </c>
      <c r="I151" s="87">
        <f>50+20+20+20</f>
        <v>110</v>
      </c>
      <c r="J151" s="88"/>
      <c r="K151" s="154"/>
      <c r="L151" s="90"/>
      <c r="M151" s="91"/>
      <c r="N151" s="91"/>
      <c r="O151" s="91"/>
      <c r="P151" s="91">
        <f>1+1</f>
        <v>2</v>
      </c>
      <c r="Q151" s="91">
        <v>100</v>
      </c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3"/>
      <c r="AK151" s="93"/>
      <c r="AL151" s="94"/>
      <c r="AM151" s="89"/>
      <c r="AN151" s="89">
        <f t="shared" si="47"/>
        <v>262</v>
      </c>
      <c r="AO151" s="28">
        <f>SUM(L151:AL151)</f>
        <v>102</v>
      </c>
      <c r="AP151" s="28"/>
      <c r="AQ151" s="28">
        <f t="shared" si="48"/>
        <v>180.4</v>
      </c>
      <c r="AR151" s="215" t="str">
        <f t="shared" si="41"/>
        <v>Sejč Dušan</v>
      </c>
      <c r="AS151" s="215">
        <f t="shared" si="50"/>
        <v>2003</v>
      </c>
      <c r="AT151" s="215" t="str">
        <f t="shared" si="51"/>
        <v>Viničné</v>
      </c>
      <c r="AU151">
        <f t="shared" si="42"/>
        <v>6</v>
      </c>
      <c r="AW151" s="77">
        <f t="shared" si="52"/>
        <v>37785</v>
      </c>
      <c r="BQ151" s="14" t="s">
        <v>265</v>
      </c>
      <c r="BR151" s="14" t="str">
        <f t="shared" si="43"/>
        <v>Juran Jakub</v>
      </c>
      <c r="BS151" s="14">
        <v>1999</v>
      </c>
      <c r="BT151" s="14" t="s">
        <v>42</v>
      </c>
      <c r="BU151" s="1">
        <v>3</v>
      </c>
    </row>
    <row r="152" spans="1:73" ht="15.75">
      <c r="A152" s="176">
        <f t="shared" si="49"/>
        <v>7</v>
      </c>
      <c r="B152" s="152">
        <f t="shared" si="45"/>
        <v>170</v>
      </c>
      <c r="C152" s="81">
        <f t="shared" si="46"/>
        <v>170</v>
      </c>
      <c r="D152" s="99" t="s">
        <v>343</v>
      </c>
      <c r="E152" s="109">
        <v>36647</v>
      </c>
      <c r="F152" s="164" t="s">
        <v>337</v>
      </c>
      <c r="G152" s="86">
        <v>50</v>
      </c>
      <c r="H152" s="82">
        <v>50</v>
      </c>
      <c r="I152" s="87">
        <f>50+30+20+20</f>
        <v>120</v>
      </c>
      <c r="J152" s="88"/>
      <c r="K152" s="154"/>
      <c r="L152" s="90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3"/>
      <c r="AK152" s="93"/>
      <c r="AL152" s="94"/>
      <c r="AM152" s="89"/>
      <c r="AN152" s="89">
        <f t="shared" si="47"/>
        <v>170</v>
      </c>
      <c r="AO152" s="28"/>
      <c r="AQ152" s="28">
        <f t="shared" si="48"/>
        <v>170</v>
      </c>
      <c r="AR152" s="215" t="str">
        <f t="shared" si="41"/>
        <v>Metke Michal</v>
      </c>
      <c r="AS152" s="215">
        <f t="shared" si="50"/>
        <v>2000</v>
      </c>
      <c r="AT152" s="215" t="str">
        <f t="shared" si="51"/>
        <v>Svätý Jur</v>
      </c>
      <c r="AU152">
        <f t="shared" si="42"/>
        <v>7</v>
      </c>
      <c r="AW152" s="77">
        <f t="shared" si="52"/>
        <v>36647</v>
      </c>
      <c r="BQ152" s="14" t="s">
        <v>266</v>
      </c>
      <c r="BR152" s="14" t="str">
        <f t="shared" si="43"/>
        <v>Belianska Sarah</v>
      </c>
      <c r="BS152" s="14">
        <v>1999</v>
      </c>
      <c r="BT152" s="14" t="s">
        <v>0</v>
      </c>
      <c r="BU152" s="1">
        <v>4</v>
      </c>
    </row>
    <row r="153" spans="1:73" ht="15.75">
      <c r="A153" s="176">
        <f t="shared" si="49"/>
        <v>8</v>
      </c>
      <c r="B153" s="152">
        <f t="shared" si="45"/>
        <v>156</v>
      </c>
      <c r="C153" s="81">
        <f t="shared" si="46"/>
        <v>156</v>
      </c>
      <c r="D153" s="83" t="s">
        <v>118</v>
      </c>
      <c r="E153" s="109">
        <v>37484</v>
      </c>
      <c r="F153" s="164" t="s">
        <v>54</v>
      </c>
      <c r="G153" s="86">
        <v>32</v>
      </c>
      <c r="H153" s="82">
        <v>32</v>
      </c>
      <c r="I153" s="87">
        <f>32+20+32+20+20</f>
        <v>124</v>
      </c>
      <c r="J153" s="88"/>
      <c r="K153" s="154"/>
      <c r="L153" s="90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177"/>
      <c r="AH153" s="177"/>
      <c r="AI153" s="177"/>
      <c r="AJ153" s="2"/>
      <c r="AK153" s="2"/>
      <c r="AL153" s="155"/>
      <c r="AM153" s="154"/>
      <c r="AN153" s="89">
        <f t="shared" si="47"/>
        <v>156</v>
      </c>
      <c r="AO153" s="28">
        <f aca="true" t="shared" si="53" ref="AO153:AO161">SUM(L153:AL153)</f>
        <v>0</v>
      </c>
      <c r="AP153" s="28"/>
      <c r="AQ153" s="28">
        <f t="shared" si="48"/>
        <v>156</v>
      </c>
      <c r="AR153" s="215" t="str">
        <f t="shared" si="41"/>
        <v>Vavrová Laura</v>
      </c>
      <c r="AS153" s="215">
        <f t="shared" si="50"/>
        <v>2002</v>
      </c>
      <c r="AT153" s="215" t="str">
        <f t="shared" si="51"/>
        <v>Viničné</v>
      </c>
      <c r="AU153">
        <f t="shared" si="42"/>
        <v>8</v>
      </c>
      <c r="AW153" s="77">
        <f t="shared" si="52"/>
        <v>37484</v>
      </c>
      <c r="BQ153" s="14" t="s">
        <v>267</v>
      </c>
      <c r="BR153" s="14" t="str">
        <f t="shared" si="43"/>
        <v>Šimončič Pavol</v>
      </c>
      <c r="BS153" s="14">
        <v>2002</v>
      </c>
      <c r="BT153" s="14" t="s">
        <v>206</v>
      </c>
      <c r="BU153" s="1">
        <v>5</v>
      </c>
    </row>
    <row r="154" spans="1:73" ht="15.75">
      <c r="A154" s="176">
        <f t="shared" si="49"/>
        <v>9</v>
      </c>
      <c r="B154" s="152">
        <f t="shared" si="45"/>
        <v>146</v>
      </c>
      <c r="C154" s="81">
        <f t="shared" si="46"/>
        <v>146</v>
      </c>
      <c r="D154" s="83" t="s">
        <v>270</v>
      </c>
      <c r="E154" s="109">
        <v>36915</v>
      </c>
      <c r="F154" s="164" t="s">
        <v>54</v>
      </c>
      <c r="G154" s="86">
        <v>50</v>
      </c>
      <c r="H154" s="82"/>
      <c r="I154" s="87">
        <f>50+32+32+32</f>
        <v>146</v>
      </c>
      <c r="J154" s="88"/>
      <c r="K154" s="154"/>
      <c r="L154" s="90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177"/>
      <c r="AG154" s="177"/>
      <c r="AH154" s="177"/>
      <c r="AI154" s="177"/>
      <c r="AJ154" s="2"/>
      <c r="AK154" s="2"/>
      <c r="AL154" s="155"/>
      <c r="AM154" s="154"/>
      <c r="AN154" s="89">
        <f t="shared" si="47"/>
        <v>146</v>
      </c>
      <c r="AO154" s="28">
        <f t="shared" si="53"/>
        <v>0</v>
      </c>
      <c r="AP154" s="28"/>
      <c r="AQ154" s="28">
        <f t="shared" si="48"/>
        <v>146</v>
      </c>
      <c r="AR154" s="215" t="str">
        <f t="shared" si="41"/>
        <v>Babík Benjamín</v>
      </c>
      <c r="AS154" s="215">
        <f t="shared" si="50"/>
        <v>2001</v>
      </c>
      <c r="AT154" s="215" t="str">
        <f t="shared" si="51"/>
        <v>Viničné</v>
      </c>
      <c r="AU154">
        <f t="shared" si="42"/>
        <v>9</v>
      </c>
      <c r="AW154" s="77">
        <f t="shared" si="52"/>
        <v>36915</v>
      </c>
      <c r="BQ154" s="14" t="s">
        <v>268</v>
      </c>
      <c r="BR154" s="14" t="str">
        <f t="shared" si="43"/>
        <v>Rybár Tomáš</v>
      </c>
      <c r="BS154" s="14">
        <v>1999</v>
      </c>
      <c r="BT154" s="14" t="s">
        <v>42</v>
      </c>
      <c r="BU154" s="1">
        <v>6</v>
      </c>
    </row>
    <row r="155" spans="1:73" ht="15.75">
      <c r="A155" s="176">
        <f t="shared" si="49"/>
        <v>10</v>
      </c>
      <c r="B155" s="152">
        <f t="shared" si="45"/>
        <v>128</v>
      </c>
      <c r="C155" s="81">
        <f t="shared" si="46"/>
        <v>128</v>
      </c>
      <c r="D155" s="83" t="s">
        <v>344</v>
      </c>
      <c r="E155" s="109">
        <v>36860</v>
      </c>
      <c r="F155" s="164" t="s">
        <v>337</v>
      </c>
      <c r="G155" s="86">
        <v>32</v>
      </c>
      <c r="H155" s="82">
        <v>32</v>
      </c>
      <c r="I155" s="87">
        <f>32+32+32</f>
        <v>96</v>
      </c>
      <c r="J155" s="88"/>
      <c r="K155" s="89"/>
      <c r="L155" s="90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177"/>
      <c r="AH155" s="177"/>
      <c r="AI155" s="177"/>
      <c r="AJ155" s="2"/>
      <c r="AK155" s="2"/>
      <c r="AL155" s="155"/>
      <c r="AM155" s="154"/>
      <c r="AN155" s="89">
        <f t="shared" si="47"/>
        <v>128</v>
      </c>
      <c r="AO155" s="28">
        <f t="shared" si="53"/>
        <v>0</v>
      </c>
      <c r="AP155" s="37"/>
      <c r="AQ155" s="28">
        <f t="shared" si="48"/>
        <v>128</v>
      </c>
      <c r="AR155" s="215" t="str">
        <f t="shared" si="41"/>
        <v>Badinský Tomáš</v>
      </c>
      <c r="AS155" s="215">
        <f t="shared" si="50"/>
        <v>2000</v>
      </c>
      <c r="AT155" s="215" t="str">
        <f t="shared" si="51"/>
        <v>Svätý Jur</v>
      </c>
      <c r="AU155">
        <f t="shared" si="42"/>
        <v>10</v>
      </c>
      <c r="AW155" s="77">
        <f t="shared" si="52"/>
        <v>36860</v>
      </c>
      <c r="BQ155" s="14" t="s">
        <v>269</v>
      </c>
      <c r="BR155" s="14" t="str">
        <f t="shared" si="43"/>
        <v>Kapusta Jerguš</v>
      </c>
      <c r="BS155" s="14">
        <v>1999</v>
      </c>
      <c r="BT155" s="14" t="s">
        <v>42</v>
      </c>
      <c r="BU155" s="1">
        <v>7</v>
      </c>
    </row>
    <row r="156" spans="1:73" ht="15.75">
      <c r="A156" s="176">
        <f t="shared" si="49"/>
        <v>11</v>
      </c>
      <c r="B156" s="152">
        <f t="shared" si="45"/>
        <v>116</v>
      </c>
      <c r="C156" s="81">
        <f t="shared" si="46"/>
        <v>116</v>
      </c>
      <c r="D156" s="83" t="s">
        <v>1</v>
      </c>
      <c r="E156" s="109">
        <v>37089</v>
      </c>
      <c r="F156" s="164" t="s">
        <v>0</v>
      </c>
      <c r="G156" s="86">
        <v>32</v>
      </c>
      <c r="H156" s="82">
        <v>32</v>
      </c>
      <c r="I156" s="87">
        <f>32+32+20</f>
        <v>84</v>
      </c>
      <c r="J156" s="88"/>
      <c r="K156" s="89"/>
      <c r="L156" s="90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3"/>
      <c r="AK156" s="93"/>
      <c r="AL156" s="94"/>
      <c r="AM156" s="89"/>
      <c r="AN156" s="89">
        <f t="shared" si="47"/>
        <v>116</v>
      </c>
      <c r="AO156" s="28">
        <f t="shared" si="53"/>
        <v>0</v>
      </c>
      <c r="AP156" s="28"/>
      <c r="AQ156" s="28">
        <f t="shared" si="48"/>
        <v>116</v>
      </c>
      <c r="AR156" s="215" t="str">
        <f t="shared" si="41"/>
        <v>Krebs Martin</v>
      </c>
      <c r="AS156" s="215">
        <f t="shared" si="50"/>
        <v>2001</v>
      </c>
      <c r="AT156" s="215" t="str">
        <f t="shared" si="51"/>
        <v>Bielenisko</v>
      </c>
      <c r="AU156">
        <f t="shared" si="42"/>
        <v>11</v>
      </c>
      <c r="AW156" s="77">
        <f t="shared" si="52"/>
        <v>37089</v>
      </c>
      <c r="BQ156" s="14" t="s">
        <v>270</v>
      </c>
      <c r="BR156" s="14" t="str">
        <f t="shared" si="43"/>
        <v>Babík Benjamín</v>
      </c>
      <c r="BS156" s="14">
        <v>2001</v>
      </c>
      <c r="BT156" s="14" t="s">
        <v>54</v>
      </c>
      <c r="BU156" s="1">
        <v>8</v>
      </c>
    </row>
    <row r="157" spans="1:73" ht="15.75">
      <c r="A157" s="176">
        <f t="shared" si="49"/>
        <v>12</v>
      </c>
      <c r="B157" s="152">
        <f t="shared" si="45"/>
        <v>96</v>
      </c>
      <c r="C157" s="81">
        <f t="shared" si="46"/>
        <v>92.8</v>
      </c>
      <c r="D157" s="83" t="s">
        <v>4</v>
      </c>
      <c r="E157" s="109">
        <v>37650</v>
      </c>
      <c r="F157" s="164" t="s">
        <v>0</v>
      </c>
      <c r="G157" s="86">
        <v>20</v>
      </c>
      <c r="H157" s="82">
        <v>20</v>
      </c>
      <c r="I157" s="87">
        <f>32+20+20</f>
        <v>72</v>
      </c>
      <c r="J157" s="88"/>
      <c r="K157" s="154"/>
      <c r="L157" s="90"/>
      <c r="M157" s="91"/>
      <c r="N157" s="91"/>
      <c r="O157" s="91"/>
      <c r="P157" s="91"/>
      <c r="Q157" s="91">
        <f>1+1+1+1</f>
        <v>4</v>
      </c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3"/>
      <c r="AK157" s="93"/>
      <c r="AL157" s="94"/>
      <c r="AM157" s="89"/>
      <c r="AN157" s="89">
        <f t="shared" si="47"/>
        <v>96</v>
      </c>
      <c r="AO157" s="28">
        <f t="shared" si="53"/>
        <v>4</v>
      </c>
      <c r="AP157" s="28"/>
      <c r="AQ157" s="28">
        <f t="shared" si="48"/>
        <v>92.8</v>
      </c>
      <c r="AR157" s="215" t="str">
        <f t="shared" si="41"/>
        <v>Krajčovič Peter</v>
      </c>
      <c r="AS157" s="215">
        <f t="shared" si="50"/>
        <v>2003</v>
      </c>
      <c r="AT157" s="215" t="str">
        <f t="shared" si="51"/>
        <v>Bielenisko</v>
      </c>
      <c r="AU157">
        <f t="shared" si="42"/>
        <v>12</v>
      </c>
      <c r="AW157" s="77">
        <f t="shared" si="52"/>
        <v>37650</v>
      </c>
      <c r="BQ157" s="14" t="s">
        <v>161</v>
      </c>
      <c r="BR157" s="14" t="str">
        <f t="shared" si="43"/>
        <v>Plško Juraj</v>
      </c>
      <c r="BS157" s="14">
        <v>2000</v>
      </c>
      <c r="BT157" s="14" t="s">
        <v>42</v>
      </c>
      <c r="BU157" s="1">
        <v>9</v>
      </c>
    </row>
    <row r="158" spans="1:73" ht="15.75">
      <c r="A158" s="176">
        <f t="shared" si="49"/>
        <v>13</v>
      </c>
      <c r="B158" s="152">
        <f t="shared" si="45"/>
        <v>84</v>
      </c>
      <c r="C158" s="81">
        <f t="shared" si="46"/>
        <v>84</v>
      </c>
      <c r="D158" s="83" t="s">
        <v>47</v>
      </c>
      <c r="E158" s="109">
        <v>37501</v>
      </c>
      <c r="F158" s="164" t="s">
        <v>42</v>
      </c>
      <c r="G158" s="86">
        <v>32</v>
      </c>
      <c r="H158" s="82"/>
      <c r="I158" s="87">
        <f>32+32+20</f>
        <v>84</v>
      </c>
      <c r="J158" s="88"/>
      <c r="K158" s="154"/>
      <c r="L158" s="90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177"/>
      <c r="AE158" s="177"/>
      <c r="AF158" s="177"/>
      <c r="AG158" s="91"/>
      <c r="AH158" s="91"/>
      <c r="AI158" s="91"/>
      <c r="AJ158" s="93"/>
      <c r="AK158" s="93"/>
      <c r="AL158" s="94"/>
      <c r="AM158" s="89"/>
      <c r="AN158" s="89">
        <f t="shared" si="47"/>
        <v>84</v>
      </c>
      <c r="AO158" s="28">
        <f t="shared" si="53"/>
        <v>0</v>
      </c>
      <c r="AP158" s="28"/>
      <c r="AQ158" s="28">
        <f t="shared" si="48"/>
        <v>84</v>
      </c>
      <c r="AR158" s="215" t="str">
        <f t="shared" si="41"/>
        <v>Naňo Martin</v>
      </c>
      <c r="AS158" s="215">
        <f t="shared" si="50"/>
        <v>2002</v>
      </c>
      <c r="AT158" s="215" t="str">
        <f t="shared" si="51"/>
        <v>Limbach</v>
      </c>
      <c r="AU158">
        <f t="shared" si="42"/>
        <v>13</v>
      </c>
      <c r="AW158" s="77">
        <f t="shared" si="52"/>
        <v>37501</v>
      </c>
      <c r="BQ158" s="14" t="s">
        <v>114</v>
      </c>
      <c r="BR158" s="14" t="str">
        <f t="shared" si="43"/>
        <v>Gajdúšek Róbert</v>
      </c>
      <c r="BS158" s="14">
        <v>2000</v>
      </c>
      <c r="BT158" s="14" t="s">
        <v>54</v>
      </c>
      <c r="BU158" s="1">
        <v>10</v>
      </c>
    </row>
    <row r="159" spans="1:73" ht="15.75">
      <c r="A159" s="176">
        <f t="shared" si="49"/>
        <v>14</v>
      </c>
      <c r="B159" s="152">
        <f t="shared" si="45"/>
        <v>72</v>
      </c>
      <c r="C159" s="81">
        <f t="shared" si="46"/>
        <v>72</v>
      </c>
      <c r="D159" s="83" t="s">
        <v>6</v>
      </c>
      <c r="E159" s="109">
        <v>36570</v>
      </c>
      <c r="F159" s="164" t="s">
        <v>0</v>
      </c>
      <c r="G159" s="86">
        <v>32</v>
      </c>
      <c r="H159" s="82">
        <v>32</v>
      </c>
      <c r="I159" s="87">
        <f>20+20</f>
        <v>40</v>
      </c>
      <c r="J159" s="88"/>
      <c r="K159" s="89"/>
      <c r="L159" s="90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177"/>
      <c r="AG159" s="177"/>
      <c r="AH159" s="177"/>
      <c r="AI159" s="177"/>
      <c r="AJ159" s="2"/>
      <c r="AK159" s="2"/>
      <c r="AL159" s="155"/>
      <c r="AM159" s="154"/>
      <c r="AN159" s="89">
        <f t="shared" si="47"/>
        <v>72</v>
      </c>
      <c r="AO159" s="28">
        <f t="shared" si="53"/>
        <v>0</v>
      </c>
      <c r="AP159" s="28"/>
      <c r="AQ159" s="28">
        <f t="shared" si="48"/>
        <v>72</v>
      </c>
      <c r="AR159" s="215" t="str">
        <f t="shared" si="41"/>
        <v>Dográcia Andrej</v>
      </c>
      <c r="AS159" s="215">
        <f t="shared" si="50"/>
        <v>2000</v>
      </c>
      <c r="AT159" s="215" t="str">
        <f t="shared" si="51"/>
        <v>Bielenisko</v>
      </c>
      <c r="AU159">
        <f t="shared" si="42"/>
        <v>14</v>
      </c>
      <c r="AW159" s="77">
        <f t="shared" si="52"/>
        <v>36570</v>
      </c>
      <c r="BQ159" s="14" t="s">
        <v>271</v>
      </c>
      <c r="BR159" s="14" t="str">
        <f t="shared" si="43"/>
        <v>Netkov Christian</v>
      </c>
      <c r="BS159" s="14">
        <v>1999</v>
      </c>
      <c r="BT159" s="14" t="s">
        <v>0</v>
      </c>
      <c r="BU159" s="1">
        <v>11</v>
      </c>
    </row>
    <row r="160" spans="1:73" ht="15.75">
      <c r="A160" s="176">
        <f t="shared" si="49"/>
        <v>15</v>
      </c>
      <c r="B160" s="152">
        <f t="shared" si="45"/>
        <v>72</v>
      </c>
      <c r="C160" s="81">
        <f t="shared" si="46"/>
        <v>72</v>
      </c>
      <c r="D160" s="83" t="s">
        <v>5</v>
      </c>
      <c r="E160" s="109">
        <v>37533</v>
      </c>
      <c r="F160" s="164" t="s">
        <v>0</v>
      </c>
      <c r="G160" s="86">
        <v>20</v>
      </c>
      <c r="H160" s="87">
        <v>20</v>
      </c>
      <c r="I160" s="87">
        <f>32+20</f>
        <v>52</v>
      </c>
      <c r="J160" s="88"/>
      <c r="K160" s="89"/>
      <c r="L160" s="90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3"/>
      <c r="AK160" s="93"/>
      <c r="AL160" s="94"/>
      <c r="AM160" s="89"/>
      <c r="AN160" s="89">
        <f t="shared" si="47"/>
        <v>72</v>
      </c>
      <c r="AO160" s="28">
        <f t="shared" si="53"/>
        <v>0</v>
      </c>
      <c r="AP160" s="28"/>
      <c r="AQ160" s="28">
        <f t="shared" si="48"/>
        <v>72</v>
      </c>
      <c r="AR160" s="215" t="str">
        <f t="shared" si="41"/>
        <v>Dográcia Samuel</v>
      </c>
      <c r="AS160" s="215">
        <f t="shared" si="50"/>
        <v>2002</v>
      </c>
      <c r="AT160" s="215" t="str">
        <f t="shared" si="51"/>
        <v>Bielenisko</v>
      </c>
      <c r="AU160">
        <f t="shared" si="42"/>
        <v>15</v>
      </c>
      <c r="AW160" s="77">
        <f t="shared" si="52"/>
        <v>37533</v>
      </c>
      <c r="BQ160" s="14" t="s">
        <v>272</v>
      </c>
      <c r="BR160" s="14" t="str">
        <f t="shared" si="43"/>
        <v>Uherčík Samuel</v>
      </c>
      <c r="BS160" s="14">
        <v>1999</v>
      </c>
      <c r="BT160" s="14" t="s">
        <v>0</v>
      </c>
      <c r="BU160" s="1">
        <v>12</v>
      </c>
    </row>
    <row r="161" spans="1:73" ht="15.75">
      <c r="A161" s="176">
        <f t="shared" si="49"/>
        <v>16</v>
      </c>
      <c r="B161" s="152">
        <f t="shared" si="45"/>
        <v>72</v>
      </c>
      <c r="C161" s="81">
        <f t="shared" si="46"/>
        <v>72</v>
      </c>
      <c r="D161" s="83" t="s">
        <v>98</v>
      </c>
      <c r="E161" s="109">
        <v>36560</v>
      </c>
      <c r="F161" s="164" t="s">
        <v>87</v>
      </c>
      <c r="G161" s="86">
        <v>20</v>
      </c>
      <c r="H161" s="82">
        <v>20</v>
      </c>
      <c r="I161" s="87">
        <f>32+20</f>
        <v>52</v>
      </c>
      <c r="J161" s="88"/>
      <c r="K161" s="154"/>
      <c r="L161" s="90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3"/>
      <c r="AK161" s="93"/>
      <c r="AL161" s="94"/>
      <c r="AM161" s="89"/>
      <c r="AN161" s="89">
        <f t="shared" si="47"/>
        <v>72</v>
      </c>
      <c r="AO161" s="28">
        <f t="shared" si="53"/>
        <v>0</v>
      </c>
      <c r="AP161" s="28"/>
      <c r="AQ161" s="28">
        <f t="shared" si="48"/>
        <v>72</v>
      </c>
      <c r="AR161" s="215" t="str">
        <f t="shared" si="41"/>
        <v>Letzová Magdaléna</v>
      </c>
      <c r="AS161" s="215">
        <f t="shared" si="50"/>
        <v>2000</v>
      </c>
      <c r="AT161" s="215" t="str">
        <f t="shared" si="51"/>
        <v>Kupeckého</v>
      </c>
      <c r="AU161">
        <f t="shared" si="42"/>
        <v>16</v>
      </c>
      <c r="AW161" s="77">
        <f t="shared" si="52"/>
        <v>36560</v>
      </c>
      <c r="BQ161" s="14" t="s">
        <v>273</v>
      </c>
      <c r="BR161" s="14" t="str">
        <f t="shared" si="43"/>
        <v>Synak Ján</v>
      </c>
      <c r="BS161" s="14">
        <v>1999</v>
      </c>
      <c r="BT161" s="14" t="s">
        <v>42</v>
      </c>
      <c r="BU161" s="1">
        <v>12</v>
      </c>
    </row>
    <row r="162" spans="1:73" ht="15.75">
      <c r="A162" s="176">
        <f t="shared" si="49"/>
        <v>17</v>
      </c>
      <c r="B162" s="152">
        <f t="shared" si="45"/>
        <v>80</v>
      </c>
      <c r="C162" s="81">
        <f t="shared" si="46"/>
        <v>72</v>
      </c>
      <c r="D162" s="83" t="s">
        <v>284</v>
      </c>
      <c r="E162" s="109">
        <v>37804</v>
      </c>
      <c r="F162" s="164" t="s">
        <v>54</v>
      </c>
      <c r="G162" s="86">
        <v>32</v>
      </c>
      <c r="H162" s="82">
        <v>32</v>
      </c>
      <c r="I162" s="87">
        <f>20+20</f>
        <v>40</v>
      </c>
      <c r="J162" s="88"/>
      <c r="K162" s="89"/>
      <c r="L162" s="90"/>
      <c r="M162" s="91"/>
      <c r="N162" s="91"/>
      <c r="O162" s="91"/>
      <c r="P162" s="91">
        <f>4+0</f>
        <v>4</v>
      </c>
      <c r="Q162" s="91">
        <v>4</v>
      </c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3"/>
      <c r="AK162" s="93"/>
      <c r="AL162" s="94"/>
      <c r="AM162" s="89"/>
      <c r="AN162" s="89">
        <f t="shared" si="47"/>
        <v>80</v>
      </c>
      <c r="AO162" s="28"/>
      <c r="AP162" s="37"/>
      <c r="AQ162" s="28">
        <f t="shared" si="48"/>
        <v>72</v>
      </c>
      <c r="AR162" s="215" t="str">
        <f t="shared" si="41"/>
        <v>Mackovčin Viliam</v>
      </c>
      <c r="AS162" s="215">
        <f t="shared" si="50"/>
        <v>2003</v>
      </c>
      <c r="AT162" s="215" t="str">
        <f t="shared" si="51"/>
        <v>Viničné</v>
      </c>
      <c r="AU162">
        <f t="shared" si="42"/>
        <v>17</v>
      </c>
      <c r="AW162" s="77">
        <f t="shared" si="52"/>
        <v>37804</v>
      </c>
      <c r="BQ162" s="14" t="s">
        <v>274</v>
      </c>
      <c r="BR162" s="14" t="str">
        <f t="shared" si="43"/>
        <v>Šajty Filip</v>
      </c>
      <c r="BS162" s="14">
        <v>2000</v>
      </c>
      <c r="BT162" s="14" t="s">
        <v>0</v>
      </c>
      <c r="BU162" s="1">
        <v>14</v>
      </c>
    </row>
    <row r="163" spans="1:73" ht="15.75">
      <c r="A163" s="176">
        <f t="shared" si="49"/>
        <v>18</v>
      </c>
      <c r="B163" s="152">
        <f t="shared" si="45"/>
        <v>60</v>
      </c>
      <c r="C163" s="81">
        <f t="shared" si="46"/>
        <v>60</v>
      </c>
      <c r="D163" s="83" t="s">
        <v>99</v>
      </c>
      <c r="E163" s="109">
        <v>36700</v>
      </c>
      <c r="F163" s="164" t="s">
        <v>87</v>
      </c>
      <c r="G163" s="86">
        <v>20</v>
      </c>
      <c r="H163" s="82">
        <v>20</v>
      </c>
      <c r="I163" s="87">
        <f>20+20</f>
        <v>40</v>
      </c>
      <c r="J163" s="88"/>
      <c r="K163" s="154"/>
      <c r="L163" s="90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177"/>
      <c r="AH163" s="177"/>
      <c r="AI163" s="177"/>
      <c r="AJ163" s="2"/>
      <c r="AK163" s="2"/>
      <c r="AL163" s="155"/>
      <c r="AM163" s="154"/>
      <c r="AN163" s="89">
        <f t="shared" si="47"/>
        <v>60</v>
      </c>
      <c r="AO163" s="28">
        <f>SUM(L163:AL163)</f>
        <v>0</v>
      </c>
      <c r="AP163" s="28"/>
      <c r="AQ163" s="28">
        <f t="shared" si="48"/>
        <v>60</v>
      </c>
      <c r="AR163" s="215" t="str">
        <f t="shared" si="41"/>
        <v>Sabolová Terézia</v>
      </c>
      <c r="AS163" s="215">
        <f t="shared" si="50"/>
        <v>2000</v>
      </c>
      <c r="AT163" s="215" t="str">
        <f t="shared" si="51"/>
        <v>Kupeckého</v>
      </c>
      <c r="AU163">
        <f t="shared" si="42"/>
        <v>18</v>
      </c>
      <c r="AW163" s="77">
        <f t="shared" si="52"/>
        <v>36700</v>
      </c>
      <c r="BQ163" s="14" t="s">
        <v>275</v>
      </c>
      <c r="BR163" s="14" t="str">
        <f t="shared" si="43"/>
        <v>Čierny Tomáš</v>
      </c>
      <c r="BS163" s="14">
        <v>1999</v>
      </c>
      <c r="BT163" s="14" t="s">
        <v>42</v>
      </c>
      <c r="BU163" s="1">
        <v>15</v>
      </c>
    </row>
    <row r="164" spans="1:73" ht="15.75">
      <c r="A164" s="176">
        <f t="shared" si="49"/>
        <v>19</v>
      </c>
      <c r="B164" s="152">
        <f t="shared" si="45"/>
        <v>135</v>
      </c>
      <c r="C164" s="81">
        <f t="shared" si="46"/>
        <v>52.6</v>
      </c>
      <c r="D164" s="83" t="s">
        <v>117</v>
      </c>
      <c r="E164" s="109">
        <v>37484</v>
      </c>
      <c r="F164" s="164" t="s">
        <v>54</v>
      </c>
      <c r="G164" s="86">
        <v>32</v>
      </c>
      <c r="H164" s="82">
        <v>32</v>
      </c>
      <c r="I164" s="87"/>
      <c r="J164" s="88"/>
      <c r="K164" s="154"/>
      <c r="L164" s="90"/>
      <c r="M164" s="91"/>
      <c r="N164" s="91"/>
      <c r="O164" s="91"/>
      <c r="P164" s="91">
        <f>1+1+1</f>
        <v>3</v>
      </c>
      <c r="Q164" s="91">
        <v>100</v>
      </c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3"/>
      <c r="AK164" s="93"/>
      <c r="AL164" s="94"/>
      <c r="AM164" s="89"/>
      <c r="AN164" s="89">
        <f t="shared" si="47"/>
        <v>135</v>
      </c>
      <c r="AO164" s="28">
        <f>SUM(L164:AL164)</f>
        <v>103</v>
      </c>
      <c r="AP164" s="28"/>
      <c r="AQ164" s="28">
        <f t="shared" si="48"/>
        <v>52.6</v>
      </c>
      <c r="AR164" s="215" t="str">
        <f t="shared" si="41"/>
        <v>Vavro Adam</v>
      </c>
      <c r="AS164" s="215">
        <f t="shared" si="50"/>
        <v>2002</v>
      </c>
      <c r="AT164" s="215" t="str">
        <f t="shared" si="51"/>
        <v>Viničné</v>
      </c>
      <c r="AU164">
        <f t="shared" si="42"/>
        <v>19</v>
      </c>
      <c r="AW164" s="77">
        <f t="shared" si="52"/>
        <v>37484</v>
      </c>
      <c r="BQ164" s="14" t="s">
        <v>276</v>
      </c>
      <c r="BR164" s="14" t="str">
        <f t="shared" si="43"/>
        <v>Janušek Ján</v>
      </c>
      <c r="BS164" s="14">
        <v>1999</v>
      </c>
      <c r="BT164" s="14" t="s">
        <v>55</v>
      </c>
      <c r="BU164" s="1">
        <v>15</v>
      </c>
    </row>
    <row r="165" spans="1:73" ht="15.75">
      <c r="A165" s="176">
        <f t="shared" si="49"/>
        <v>20</v>
      </c>
      <c r="B165" s="152">
        <f t="shared" si="45"/>
        <v>52</v>
      </c>
      <c r="C165" s="81">
        <f t="shared" si="46"/>
        <v>52</v>
      </c>
      <c r="D165" s="83" t="s">
        <v>49</v>
      </c>
      <c r="E165" s="109">
        <v>37238</v>
      </c>
      <c r="F165" s="164" t="s">
        <v>42</v>
      </c>
      <c r="G165" s="86">
        <v>32</v>
      </c>
      <c r="H165" s="82"/>
      <c r="I165" s="87">
        <f>32+20</f>
        <v>52</v>
      </c>
      <c r="J165" s="88"/>
      <c r="K165" s="89"/>
      <c r="L165" s="90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177"/>
      <c r="AE165" s="177"/>
      <c r="AF165" s="177"/>
      <c r="AG165" s="91"/>
      <c r="AH165" s="91"/>
      <c r="AI165" s="91"/>
      <c r="AJ165" s="93"/>
      <c r="AK165" s="93"/>
      <c r="AL165" s="94"/>
      <c r="AM165" s="89"/>
      <c r="AN165" s="89">
        <f t="shared" si="47"/>
        <v>52</v>
      </c>
      <c r="AO165" s="28">
        <f>SUM(L165:AL165)</f>
        <v>0</v>
      </c>
      <c r="AP165" s="28"/>
      <c r="AQ165" s="28">
        <f t="shared" si="48"/>
        <v>52</v>
      </c>
      <c r="AR165" s="215" t="str">
        <f t="shared" si="41"/>
        <v>Divišová Hanka</v>
      </c>
      <c r="AS165" s="215">
        <f t="shared" si="50"/>
        <v>2001</v>
      </c>
      <c r="AT165" s="215" t="str">
        <f t="shared" si="51"/>
        <v>Limbach</v>
      </c>
      <c r="AU165">
        <f t="shared" si="42"/>
        <v>20</v>
      </c>
      <c r="AW165" s="77">
        <f t="shared" si="52"/>
        <v>37238</v>
      </c>
      <c r="BQ165" s="14" t="s">
        <v>277</v>
      </c>
      <c r="BR165" s="14" t="str">
        <f t="shared" si="43"/>
        <v>Jirku Katarína</v>
      </c>
      <c r="BS165" s="14">
        <v>1999</v>
      </c>
      <c r="BT165" s="14" t="s">
        <v>87</v>
      </c>
      <c r="BU165" s="1">
        <v>17</v>
      </c>
    </row>
    <row r="166" spans="1:73" ht="15.75">
      <c r="A166" s="176">
        <f t="shared" si="49"/>
        <v>21</v>
      </c>
      <c r="B166" s="152">
        <f t="shared" si="45"/>
        <v>52</v>
      </c>
      <c r="C166" s="81">
        <f t="shared" si="46"/>
        <v>52</v>
      </c>
      <c r="D166" s="83" t="s">
        <v>7</v>
      </c>
      <c r="E166" s="109">
        <v>37438</v>
      </c>
      <c r="F166" s="164" t="s">
        <v>0</v>
      </c>
      <c r="G166" s="86">
        <v>32</v>
      </c>
      <c r="H166" s="82">
        <v>32</v>
      </c>
      <c r="I166" s="87">
        <v>20</v>
      </c>
      <c r="J166" s="88"/>
      <c r="K166" s="89"/>
      <c r="L166" s="90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177"/>
      <c r="AG166" s="177"/>
      <c r="AH166" s="177"/>
      <c r="AI166" s="177"/>
      <c r="AJ166" s="2"/>
      <c r="AK166" s="2"/>
      <c r="AL166" s="155"/>
      <c r="AM166" s="154"/>
      <c r="AN166" s="89">
        <f t="shared" si="47"/>
        <v>52</v>
      </c>
      <c r="AO166" s="28">
        <f>SUM(L166:AL166)</f>
        <v>0</v>
      </c>
      <c r="AP166" s="28"/>
      <c r="AQ166" s="28">
        <f t="shared" si="48"/>
        <v>52</v>
      </c>
      <c r="AR166" s="215" t="str">
        <f t="shared" si="41"/>
        <v>Slezák Martin</v>
      </c>
      <c r="AS166" s="215">
        <f t="shared" si="50"/>
        <v>2002</v>
      </c>
      <c r="AT166" s="215" t="str">
        <f t="shared" si="51"/>
        <v>Bielenisko</v>
      </c>
      <c r="AU166">
        <f t="shared" si="42"/>
        <v>21</v>
      </c>
      <c r="AW166" s="77">
        <f t="shared" si="52"/>
        <v>37438</v>
      </c>
      <c r="BQ166" s="14" t="s">
        <v>115</v>
      </c>
      <c r="BR166" s="14" t="str">
        <f t="shared" si="43"/>
        <v>Jalovecký Marek</v>
      </c>
      <c r="BS166" s="14">
        <v>2001</v>
      </c>
      <c r="BT166" s="14" t="s">
        <v>54</v>
      </c>
      <c r="BU166" s="1">
        <v>18</v>
      </c>
    </row>
    <row r="167" spans="1:73" ht="15.75">
      <c r="A167" s="176">
        <f t="shared" si="49"/>
        <v>22</v>
      </c>
      <c r="B167" s="152">
        <f t="shared" si="45"/>
        <v>50</v>
      </c>
      <c r="C167" s="81">
        <f t="shared" si="46"/>
        <v>50</v>
      </c>
      <c r="D167" s="83" t="s">
        <v>342</v>
      </c>
      <c r="E167" s="109">
        <v>37720</v>
      </c>
      <c r="F167" s="164" t="s">
        <v>55</v>
      </c>
      <c r="G167" s="86">
        <v>50</v>
      </c>
      <c r="H167" s="82">
        <v>50</v>
      </c>
      <c r="I167" s="87"/>
      <c r="J167" s="88"/>
      <c r="K167" s="89"/>
      <c r="L167" s="90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3"/>
      <c r="AK167" s="93"/>
      <c r="AL167" s="94"/>
      <c r="AM167" s="89"/>
      <c r="AN167" s="89">
        <f t="shared" si="47"/>
        <v>50</v>
      </c>
      <c r="AO167" s="28"/>
      <c r="AQ167" s="28">
        <f t="shared" si="48"/>
        <v>50</v>
      </c>
      <c r="AR167" s="215" t="str">
        <f t="shared" si="41"/>
        <v>Lukáčik Martin</v>
      </c>
      <c r="AS167" s="215">
        <f t="shared" si="50"/>
        <v>2003</v>
      </c>
      <c r="AT167" s="215" t="str">
        <f t="shared" si="51"/>
        <v>Fándlyho</v>
      </c>
      <c r="AU167">
        <f t="shared" si="42"/>
        <v>22</v>
      </c>
      <c r="AW167" s="77">
        <f t="shared" si="52"/>
        <v>37720</v>
      </c>
      <c r="BQ167" s="14" t="s">
        <v>278</v>
      </c>
      <c r="BR167" s="14" t="str">
        <f t="shared" si="43"/>
        <v>Trochtová Martina</v>
      </c>
      <c r="BS167" s="14">
        <v>1999</v>
      </c>
      <c r="BT167" s="14" t="s">
        <v>87</v>
      </c>
      <c r="BU167" s="1">
        <v>19</v>
      </c>
    </row>
    <row r="168" spans="1:73" ht="15.75">
      <c r="A168" s="176">
        <f t="shared" si="49"/>
        <v>23</v>
      </c>
      <c r="B168" s="152">
        <f t="shared" si="45"/>
        <v>48</v>
      </c>
      <c r="C168" s="81">
        <f t="shared" si="46"/>
        <v>41.6</v>
      </c>
      <c r="D168" s="83" t="s">
        <v>119</v>
      </c>
      <c r="E168" s="109">
        <v>37488</v>
      </c>
      <c r="F168" s="164" t="s">
        <v>54</v>
      </c>
      <c r="G168" s="86">
        <v>20</v>
      </c>
      <c r="H168" s="82">
        <v>20</v>
      </c>
      <c r="I168" s="87">
        <v>20</v>
      </c>
      <c r="J168" s="88"/>
      <c r="K168" s="154"/>
      <c r="L168" s="90"/>
      <c r="M168" s="91"/>
      <c r="N168" s="91"/>
      <c r="O168" s="91"/>
      <c r="P168" s="91">
        <v>4</v>
      </c>
      <c r="Q168" s="91">
        <v>4</v>
      </c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177"/>
      <c r="AG168" s="177"/>
      <c r="AH168" s="177"/>
      <c r="AI168" s="177"/>
      <c r="AJ168" s="2"/>
      <c r="AK168" s="2"/>
      <c r="AL168" s="155"/>
      <c r="AM168" s="154"/>
      <c r="AN168" s="89">
        <f t="shared" si="47"/>
        <v>48</v>
      </c>
      <c r="AO168" s="28">
        <f aca="true" t="shared" si="54" ref="AO168:AO204">SUM(L168:AL168)</f>
        <v>8</v>
      </c>
      <c r="AP168" s="28"/>
      <c r="AQ168" s="28">
        <f t="shared" si="48"/>
        <v>41.6</v>
      </c>
      <c r="AR168" s="215" t="str">
        <f t="shared" si="41"/>
        <v>Čech Tomáš</v>
      </c>
      <c r="AS168" s="215">
        <f t="shared" si="50"/>
        <v>2002</v>
      </c>
      <c r="AT168" s="215" t="str">
        <f t="shared" si="51"/>
        <v>Viničné</v>
      </c>
      <c r="AU168">
        <f t="shared" si="42"/>
        <v>23</v>
      </c>
      <c r="AW168" s="77">
        <f t="shared" si="52"/>
        <v>37488</v>
      </c>
      <c r="BQ168" s="14" t="s">
        <v>16</v>
      </c>
      <c r="BR168" s="14" t="str">
        <f t="shared" si="43"/>
        <v>Strempek Jakub</v>
      </c>
      <c r="BS168" s="14">
        <v>1999</v>
      </c>
      <c r="BT168" s="14" t="s">
        <v>0</v>
      </c>
      <c r="BU168" s="1">
        <v>20</v>
      </c>
    </row>
    <row r="169" spans="1:73" ht="15.75">
      <c r="A169" s="176">
        <f t="shared" si="49"/>
        <v>24</v>
      </c>
      <c r="B169" s="152">
        <f t="shared" si="45"/>
        <v>44</v>
      </c>
      <c r="C169" s="81">
        <f t="shared" si="46"/>
        <v>40.8</v>
      </c>
      <c r="D169" s="83" t="s">
        <v>121</v>
      </c>
      <c r="E169" s="109">
        <v>37879</v>
      </c>
      <c r="F169" s="164" t="s">
        <v>54</v>
      </c>
      <c r="G169" s="86">
        <v>20</v>
      </c>
      <c r="H169" s="82">
        <v>20</v>
      </c>
      <c r="I169" s="87">
        <v>20</v>
      </c>
      <c r="J169" s="88"/>
      <c r="K169" s="154"/>
      <c r="L169" s="90"/>
      <c r="M169" s="91"/>
      <c r="N169" s="91"/>
      <c r="O169" s="91"/>
      <c r="P169" s="91">
        <v>2</v>
      </c>
      <c r="Q169" s="91">
        <v>2</v>
      </c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177"/>
      <c r="AG169" s="177"/>
      <c r="AH169" s="177"/>
      <c r="AI169" s="177"/>
      <c r="AJ169" s="2"/>
      <c r="AK169" s="2"/>
      <c r="AL169" s="155"/>
      <c r="AM169" s="154"/>
      <c r="AN169" s="89">
        <f t="shared" si="47"/>
        <v>44</v>
      </c>
      <c r="AO169" s="28">
        <f t="shared" si="54"/>
        <v>4</v>
      </c>
      <c r="AP169" s="28"/>
      <c r="AQ169" s="28">
        <f t="shared" si="48"/>
        <v>40.8</v>
      </c>
      <c r="AR169" s="215" t="str">
        <f t="shared" si="41"/>
        <v>Hanúsek Andrej</v>
      </c>
      <c r="AS169" s="215">
        <f t="shared" si="50"/>
        <v>2003</v>
      </c>
      <c r="AT169" s="215" t="str">
        <f t="shared" si="51"/>
        <v>Viničné</v>
      </c>
      <c r="AU169">
        <f t="shared" si="42"/>
        <v>24</v>
      </c>
      <c r="AW169" s="77">
        <f t="shared" si="52"/>
        <v>37879</v>
      </c>
      <c r="BQ169" s="14" t="s">
        <v>279</v>
      </c>
      <c r="BR169" s="14" t="str">
        <f t="shared" si="43"/>
        <v>Novák Peter</v>
      </c>
      <c r="BS169" s="14">
        <v>2001</v>
      </c>
      <c r="BT169" s="14" t="s">
        <v>54</v>
      </c>
      <c r="BU169" s="1">
        <v>21</v>
      </c>
    </row>
    <row r="170" spans="1:73" ht="15.75">
      <c r="A170" s="176">
        <f t="shared" si="49"/>
        <v>25</v>
      </c>
      <c r="B170" s="152">
        <f t="shared" si="45"/>
        <v>42</v>
      </c>
      <c r="C170" s="81">
        <f t="shared" si="46"/>
        <v>40.4</v>
      </c>
      <c r="D170" s="83" t="s">
        <v>120</v>
      </c>
      <c r="E170" s="109">
        <v>37424</v>
      </c>
      <c r="F170" s="164" t="s">
        <v>54</v>
      </c>
      <c r="G170" s="86">
        <v>20</v>
      </c>
      <c r="H170" s="82">
        <v>20</v>
      </c>
      <c r="I170" s="87">
        <v>20</v>
      </c>
      <c r="J170" s="88"/>
      <c r="K170" s="154"/>
      <c r="L170" s="90"/>
      <c r="M170" s="91"/>
      <c r="N170" s="91"/>
      <c r="O170" s="91"/>
      <c r="P170" s="91"/>
      <c r="Q170" s="91">
        <v>2</v>
      </c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177"/>
      <c r="AG170" s="177"/>
      <c r="AH170" s="177"/>
      <c r="AI170" s="177"/>
      <c r="AJ170" s="2"/>
      <c r="AK170" s="2"/>
      <c r="AL170" s="155"/>
      <c r="AM170" s="154"/>
      <c r="AN170" s="89">
        <f t="shared" si="47"/>
        <v>42</v>
      </c>
      <c r="AO170" s="28">
        <f t="shared" si="54"/>
        <v>2</v>
      </c>
      <c r="AP170" s="28"/>
      <c r="AQ170" s="28">
        <f t="shared" si="48"/>
        <v>40.4</v>
      </c>
      <c r="AR170" s="215" t="str">
        <f t="shared" si="41"/>
        <v>Blunárová Viktória</v>
      </c>
      <c r="AS170" s="215">
        <f t="shared" si="50"/>
        <v>2002</v>
      </c>
      <c r="AT170" s="215" t="str">
        <f t="shared" si="51"/>
        <v>Viničné</v>
      </c>
      <c r="AU170">
        <f t="shared" si="42"/>
        <v>25</v>
      </c>
      <c r="AW170" s="77">
        <f t="shared" si="52"/>
        <v>37424</v>
      </c>
      <c r="BQ170" s="14" t="s">
        <v>280</v>
      </c>
      <c r="BR170" s="14" t="str">
        <f t="shared" si="43"/>
        <v>Gašparovič Tomáš</v>
      </c>
      <c r="BS170" s="14">
        <v>1999</v>
      </c>
      <c r="BT170" s="14" t="s">
        <v>206</v>
      </c>
      <c r="BU170" s="1">
        <v>22</v>
      </c>
    </row>
    <row r="171" spans="1:73" ht="15.75">
      <c r="A171" s="176">
        <f t="shared" si="49"/>
        <v>26</v>
      </c>
      <c r="B171" s="152">
        <f t="shared" si="45"/>
        <v>40</v>
      </c>
      <c r="C171" s="81">
        <f t="shared" si="46"/>
        <v>40</v>
      </c>
      <c r="D171" s="83" t="s">
        <v>31</v>
      </c>
      <c r="E171" s="109">
        <v>36027</v>
      </c>
      <c r="F171" s="164" t="s">
        <v>0</v>
      </c>
      <c r="G171" s="86">
        <v>20</v>
      </c>
      <c r="H171" s="82"/>
      <c r="I171" s="87">
        <f>20+20</f>
        <v>40</v>
      </c>
      <c r="J171" s="88"/>
      <c r="K171" s="154"/>
      <c r="L171" s="90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177"/>
      <c r="AG171" s="177"/>
      <c r="AH171" s="177"/>
      <c r="AI171" s="177"/>
      <c r="AJ171" s="2"/>
      <c r="AK171" s="2"/>
      <c r="AL171" s="155"/>
      <c r="AM171" s="154"/>
      <c r="AN171" s="89">
        <f t="shared" si="47"/>
        <v>40</v>
      </c>
      <c r="AO171" s="28">
        <f t="shared" si="54"/>
        <v>0</v>
      </c>
      <c r="AP171" s="28"/>
      <c r="AQ171" s="28">
        <f t="shared" si="48"/>
        <v>40</v>
      </c>
      <c r="AR171" s="215" t="str">
        <f t="shared" si="41"/>
        <v>Pikulík Roman</v>
      </c>
      <c r="AS171" s="215">
        <f t="shared" si="50"/>
        <v>1998</v>
      </c>
      <c r="AT171" s="215" t="str">
        <f t="shared" si="51"/>
        <v>Bielenisko</v>
      </c>
      <c r="AU171">
        <f t="shared" si="42"/>
        <v>26</v>
      </c>
      <c r="AW171" s="77">
        <f t="shared" si="52"/>
        <v>36027</v>
      </c>
      <c r="BQ171" s="14" t="s">
        <v>281</v>
      </c>
      <c r="BR171" s="14" t="str">
        <f t="shared" si="43"/>
        <v>Reháková Nikol</v>
      </c>
      <c r="BS171" s="14">
        <v>1900</v>
      </c>
      <c r="BT171" s="14" t="s">
        <v>55</v>
      </c>
      <c r="BU171" s="1">
        <v>23</v>
      </c>
    </row>
    <row r="172" spans="1:73" ht="15.75">
      <c r="A172" s="176">
        <f t="shared" si="49"/>
        <v>27</v>
      </c>
      <c r="B172" s="152">
        <f t="shared" si="45"/>
        <v>40</v>
      </c>
      <c r="C172" s="81">
        <f t="shared" si="46"/>
        <v>40</v>
      </c>
      <c r="D172" s="83" t="s">
        <v>125</v>
      </c>
      <c r="E172" s="109">
        <v>37976</v>
      </c>
      <c r="F172" s="164" t="s">
        <v>54</v>
      </c>
      <c r="G172" s="86">
        <v>20</v>
      </c>
      <c r="H172" s="82">
        <v>20</v>
      </c>
      <c r="I172" s="87">
        <v>20</v>
      </c>
      <c r="J172" s="88"/>
      <c r="K172" s="89"/>
      <c r="L172" s="90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3"/>
      <c r="AK172" s="93"/>
      <c r="AL172" s="94"/>
      <c r="AM172" s="89"/>
      <c r="AN172" s="89">
        <f t="shared" si="47"/>
        <v>40</v>
      </c>
      <c r="AO172" s="28">
        <f t="shared" si="54"/>
        <v>0</v>
      </c>
      <c r="AP172" s="28"/>
      <c r="AQ172" s="28">
        <f t="shared" si="48"/>
        <v>40</v>
      </c>
      <c r="AR172" s="215" t="str">
        <f t="shared" si="41"/>
        <v>Pingyak Ján Martin</v>
      </c>
      <c r="AS172" s="215">
        <f t="shared" si="50"/>
        <v>2003</v>
      </c>
      <c r="AT172" s="215" t="str">
        <f t="shared" si="51"/>
        <v>Viničné</v>
      </c>
      <c r="AU172">
        <f t="shared" si="42"/>
        <v>27</v>
      </c>
      <c r="AW172" s="77">
        <f t="shared" si="52"/>
        <v>37976</v>
      </c>
      <c r="BQ172" s="14" t="s">
        <v>1</v>
      </c>
      <c r="BR172" s="14" t="str">
        <f t="shared" si="43"/>
        <v>Krebs Martin</v>
      </c>
      <c r="BS172" s="14">
        <v>2001</v>
      </c>
      <c r="BT172" s="14" t="s">
        <v>0</v>
      </c>
      <c r="BU172" s="1">
        <v>23</v>
      </c>
    </row>
    <row r="173" spans="1:73" ht="15.75">
      <c r="A173" s="176">
        <f t="shared" si="49"/>
        <v>28</v>
      </c>
      <c r="B173" s="152">
        <f t="shared" si="45"/>
        <v>40</v>
      </c>
      <c r="C173" s="81">
        <f t="shared" si="46"/>
        <v>40</v>
      </c>
      <c r="D173" s="83" t="s">
        <v>355</v>
      </c>
      <c r="E173" s="109">
        <v>37601</v>
      </c>
      <c r="F173" s="164" t="s">
        <v>55</v>
      </c>
      <c r="G173" s="86">
        <v>20</v>
      </c>
      <c r="H173" s="82"/>
      <c r="I173" s="87">
        <f>20+20</f>
        <v>40</v>
      </c>
      <c r="J173" s="88"/>
      <c r="K173" s="154"/>
      <c r="L173" s="90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177"/>
      <c r="AG173" s="177"/>
      <c r="AH173" s="177"/>
      <c r="AI173" s="177"/>
      <c r="AJ173" s="2"/>
      <c r="AK173" s="2"/>
      <c r="AL173" s="155"/>
      <c r="AM173" s="154"/>
      <c r="AN173" s="89">
        <f t="shared" si="47"/>
        <v>40</v>
      </c>
      <c r="AO173" s="28">
        <f t="shared" si="54"/>
        <v>0</v>
      </c>
      <c r="AP173" s="28"/>
      <c r="AQ173" s="28">
        <f t="shared" si="48"/>
        <v>40</v>
      </c>
      <c r="AR173" s="215" t="str">
        <f t="shared" si="41"/>
        <v>Kováčová Zuzana</v>
      </c>
      <c r="AS173" s="215">
        <f t="shared" si="50"/>
        <v>2002</v>
      </c>
      <c r="AT173" s="215" t="str">
        <f t="shared" si="51"/>
        <v>Fándlyho</v>
      </c>
      <c r="AU173">
        <f t="shared" si="42"/>
        <v>28</v>
      </c>
      <c r="AW173" s="77">
        <f t="shared" si="52"/>
        <v>37601</v>
      </c>
      <c r="BQ173" s="14" t="s">
        <v>31</v>
      </c>
      <c r="BR173" s="14" t="str">
        <f t="shared" si="43"/>
        <v>Pikulík Roman</v>
      </c>
      <c r="BS173" s="14">
        <v>1998</v>
      </c>
      <c r="BT173" s="14" t="s">
        <v>0</v>
      </c>
      <c r="BU173" s="1">
        <v>25</v>
      </c>
    </row>
    <row r="174" spans="1:73" ht="15.75">
      <c r="A174" s="176">
        <f t="shared" si="49"/>
        <v>29</v>
      </c>
      <c r="B174" s="152">
        <f t="shared" si="45"/>
        <v>32</v>
      </c>
      <c r="C174" s="81">
        <f t="shared" si="46"/>
        <v>32</v>
      </c>
      <c r="D174" s="99" t="s">
        <v>157</v>
      </c>
      <c r="E174" s="109">
        <v>36803</v>
      </c>
      <c r="F174" s="164" t="s">
        <v>145</v>
      </c>
      <c r="G174" s="86">
        <v>32</v>
      </c>
      <c r="H174" s="82">
        <v>32</v>
      </c>
      <c r="I174" s="87"/>
      <c r="J174" s="88"/>
      <c r="K174" s="154"/>
      <c r="L174" s="90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177"/>
      <c r="AG174" s="177"/>
      <c r="AH174" s="177"/>
      <c r="AI174" s="177"/>
      <c r="AJ174" s="2"/>
      <c r="AK174" s="2"/>
      <c r="AL174" s="155"/>
      <c r="AM174" s="154"/>
      <c r="AN174" s="89">
        <f t="shared" si="47"/>
        <v>32</v>
      </c>
      <c r="AO174" s="28">
        <f t="shared" si="54"/>
        <v>0</v>
      </c>
      <c r="AP174" s="28"/>
      <c r="AQ174" s="28">
        <f t="shared" si="48"/>
        <v>32</v>
      </c>
      <c r="AR174" s="215" t="str">
        <f t="shared" si="41"/>
        <v>Federl Peter</v>
      </c>
      <c r="AS174" s="215">
        <f t="shared" si="50"/>
        <v>2000</v>
      </c>
      <c r="AT174" s="215" t="str">
        <f t="shared" si="51"/>
        <v>Orešie</v>
      </c>
      <c r="AU174">
        <f t="shared" si="42"/>
        <v>29</v>
      </c>
      <c r="AW174" s="77">
        <f t="shared" si="52"/>
        <v>36803</v>
      </c>
      <c r="BQ174" s="14" t="s">
        <v>116</v>
      </c>
      <c r="BR174" s="14" t="str">
        <f t="shared" si="43"/>
        <v>Sejč Dušan</v>
      </c>
      <c r="BS174" s="14">
        <v>2003</v>
      </c>
      <c r="BT174" s="14" t="s">
        <v>54</v>
      </c>
      <c r="BU174" s="1">
        <v>26</v>
      </c>
    </row>
    <row r="175" spans="1:73" ht="15.75">
      <c r="A175" s="176">
        <f t="shared" si="49"/>
        <v>30</v>
      </c>
      <c r="B175" s="152">
        <f t="shared" si="45"/>
        <v>25</v>
      </c>
      <c r="C175" s="81">
        <f t="shared" si="46"/>
        <v>21</v>
      </c>
      <c r="D175" s="83" t="s">
        <v>345</v>
      </c>
      <c r="E175" s="109">
        <v>37145</v>
      </c>
      <c r="F175" s="164" t="s">
        <v>54</v>
      </c>
      <c r="G175" s="86">
        <v>20</v>
      </c>
      <c r="H175" s="82">
        <v>20</v>
      </c>
      <c r="I175" s="87"/>
      <c r="J175" s="88"/>
      <c r="K175" s="154"/>
      <c r="L175" s="90"/>
      <c r="M175" s="91"/>
      <c r="N175" s="91"/>
      <c r="O175" s="91"/>
      <c r="P175" s="91">
        <v>2</v>
      </c>
      <c r="Q175" s="91">
        <v>3</v>
      </c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177"/>
      <c r="AG175" s="177"/>
      <c r="AH175" s="177"/>
      <c r="AI175" s="177"/>
      <c r="AJ175" s="2"/>
      <c r="AK175" s="2"/>
      <c r="AL175" s="155"/>
      <c r="AM175" s="154"/>
      <c r="AN175" s="89">
        <f t="shared" si="47"/>
        <v>25</v>
      </c>
      <c r="AO175" s="28">
        <f t="shared" si="54"/>
        <v>5</v>
      </c>
      <c r="AP175" s="28"/>
      <c r="AQ175" s="28">
        <f t="shared" si="48"/>
        <v>21</v>
      </c>
      <c r="AR175" s="215" t="str">
        <f t="shared" si="41"/>
        <v>Světlíková Sofia</v>
      </c>
      <c r="AS175" s="215">
        <f t="shared" si="50"/>
        <v>2001</v>
      </c>
      <c r="AT175" s="215" t="str">
        <f t="shared" si="51"/>
        <v>Viničné</v>
      </c>
      <c r="AU175">
        <f t="shared" si="42"/>
        <v>30</v>
      </c>
      <c r="AW175" s="77">
        <f t="shared" si="52"/>
        <v>37145</v>
      </c>
      <c r="BQ175" s="14" t="s">
        <v>282</v>
      </c>
      <c r="BR175" s="14" t="str">
        <f t="shared" si="43"/>
        <v>Mocko Denis</v>
      </c>
      <c r="BS175" s="14">
        <v>1999</v>
      </c>
      <c r="BT175" s="14" t="s">
        <v>42</v>
      </c>
      <c r="BU175" s="1">
        <v>27</v>
      </c>
    </row>
    <row r="176" spans="1:73" ht="15.75">
      <c r="A176" s="176">
        <f t="shared" si="49"/>
        <v>31</v>
      </c>
      <c r="B176" s="152">
        <f t="shared" si="45"/>
        <v>24</v>
      </c>
      <c r="C176" s="81">
        <f t="shared" si="46"/>
        <v>20.8</v>
      </c>
      <c r="D176" s="83" t="s">
        <v>349</v>
      </c>
      <c r="E176" s="109">
        <v>37068</v>
      </c>
      <c r="F176" s="164" t="s">
        <v>54</v>
      </c>
      <c r="G176" s="86">
        <v>20</v>
      </c>
      <c r="H176" s="82"/>
      <c r="I176" s="87">
        <v>20</v>
      </c>
      <c r="J176" s="88"/>
      <c r="K176" s="154"/>
      <c r="L176" s="90"/>
      <c r="M176" s="91"/>
      <c r="N176" s="91"/>
      <c r="O176" s="91"/>
      <c r="P176" s="91">
        <f>3+0</f>
        <v>3</v>
      </c>
      <c r="Q176" s="91">
        <v>1</v>
      </c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177"/>
      <c r="AG176" s="177"/>
      <c r="AH176" s="177"/>
      <c r="AI176" s="177"/>
      <c r="AJ176" s="2"/>
      <c r="AK176" s="2"/>
      <c r="AL176" s="155"/>
      <c r="AM176" s="154"/>
      <c r="AN176" s="89">
        <f t="shared" si="47"/>
        <v>24</v>
      </c>
      <c r="AO176" s="28">
        <f t="shared" si="54"/>
        <v>4</v>
      </c>
      <c r="AP176" s="28"/>
      <c r="AQ176" s="28">
        <f t="shared" si="48"/>
        <v>20.8</v>
      </c>
      <c r="AR176" s="215" t="str">
        <f t="shared" si="41"/>
        <v>Geršicová Kristína</v>
      </c>
      <c r="AS176" s="215">
        <f t="shared" si="50"/>
        <v>2001</v>
      </c>
      <c r="AT176" s="215" t="str">
        <f t="shared" si="51"/>
        <v>Viničné</v>
      </c>
      <c r="AU176">
        <f t="shared" si="42"/>
        <v>31</v>
      </c>
      <c r="AW176" s="77">
        <f t="shared" si="52"/>
        <v>37068</v>
      </c>
      <c r="BQ176" s="14" t="s">
        <v>118</v>
      </c>
      <c r="BR176" s="14" t="str">
        <f t="shared" si="43"/>
        <v>Vavrová Laura</v>
      </c>
      <c r="BS176" s="14">
        <v>2002</v>
      </c>
      <c r="BT176" s="14" t="s">
        <v>54</v>
      </c>
      <c r="BU176" s="1">
        <v>28</v>
      </c>
    </row>
    <row r="177" spans="1:73" ht="15.75">
      <c r="A177" s="176">
        <f t="shared" si="49"/>
        <v>32</v>
      </c>
      <c r="B177" s="152">
        <f t="shared" si="45"/>
        <v>20</v>
      </c>
      <c r="C177" s="81">
        <f t="shared" si="46"/>
        <v>20</v>
      </c>
      <c r="D177" s="83" t="s">
        <v>43</v>
      </c>
      <c r="E177" s="109">
        <v>36822</v>
      </c>
      <c r="F177" s="164" t="s">
        <v>42</v>
      </c>
      <c r="G177" s="86">
        <v>20</v>
      </c>
      <c r="H177" s="82"/>
      <c r="I177" s="87">
        <v>20</v>
      </c>
      <c r="J177" s="88"/>
      <c r="K177" s="89"/>
      <c r="L177" s="90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177"/>
      <c r="AG177" s="177"/>
      <c r="AH177" s="177"/>
      <c r="AI177" s="177"/>
      <c r="AJ177" s="2"/>
      <c r="AK177" s="2"/>
      <c r="AL177" s="155"/>
      <c r="AM177" s="154"/>
      <c r="AN177" s="89">
        <f t="shared" si="47"/>
        <v>20</v>
      </c>
      <c r="AO177" s="28">
        <f t="shared" si="54"/>
        <v>0</v>
      </c>
      <c r="AP177" s="28"/>
      <c r="AQ177" s="28">
        <f t="shared" si="48"/>
        <v>20</v>
      </c>
      <c r="AR177" s="215" t="str">
        <f t="shared" si="41"/>
        <v>Diviš Matej</v>
      </c>
      <c r="AS177" s="215">
        <f t="shared" si="50"/>
        <v>2000</v>
      </c>
      <c r="AT177" s="215" t="str">
        <f t="shared" si="51"/>
        <v>Limbach</v>
      </c>
      <c r="AU177">
        <f t="shared" si="42"/>
        <v>32</v>
      </c>
      <c r="AW177" s="77">
        <f t="shared" si="52"/>
        <v>36822</v>
      </c>
      <c r="BQ177" s="14" t="s">
        <v>117</v>
      </c>
      <c r="BR177" s="14" t="str">
        <f t="shared" si="43"/>
        <v>Vavro Adam</v>
      </c>
      <c r="BS177" s="14">
        <v>2002</v>
      </c>
      <c r="BT177" s="14" t="s">
        <v>54</v>
      </c>
      <c r="BU177" s="1">
        <v>29</v>
      </c>
    </row>
    <row r="178" spans="1:73" ht="15.75">
      <c r="A178" s="176">
        <f t="shared" si="49"/>
        <v>33</v>
      </c>
      <c r="B178" s="152">
        <f t="shared" si="45"/>
        <v>20</v>
      </c>
      <c r="C178" s="81">
        <f aca="true" t="shared" si="55" ref="C178:C204">H178+I178+J178+AM178+AO178*$AO$1</f>
        <v>20</v>
      </c>
      <c r="D178" s="83" t="s">
        <v>46</v>
      </c>
      <c r="E178" s="109">
        <v>37398</v>
      </c>
      <c r="F178" s="164" t="s">
        <v>42</v>
      </c>
      <c r="G178" s="86">
        <v>20</v>
      </c>
      <c r="H178" s="82"/>
      <c r="I178" s="87">
        <v>20</v>
      </c>
      <c r="J178" s="88"/>
      <c r="K178" s="89"/>
      <c r="L178" s="90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3"/>
      <c r="AK178" s="93"/>
      <c r="AL178" s="94"/>
      <c r="AM178" s="89"/>
      <c r="AN178" s="89">
        <f aca="true" t="shared" si="56" ref="AN178:AN209">SUM(H178:AM178)</f>
        <v>20</v>
      </c>
      <c r="AO178" s="28">
        <f t="shared" si="54"/>
        <v>0</v>
      </c>
      <c r="AP178" s="28"/>
      <c r="AQ178" s="28">
        <f aca="true" t="shared" si="57" ref="AQ178:AQ204">C178</f>
        <v>20</v>
      </c>
      <c r="AR178" s="215" t="str">
        <f t="shared" si="41"/>
        <v>Farbula Adrián</v>
      </c>
      <c r="AS178" s="215">
        <f t="shared" si="50"/>
        <v>2002</v>
      </c>
      <c r="AT178" s="215" t="str">
        <f t="shared" si="51"/>
        <v>Limbach</v>
      </c>
      <c r="AU178">
        <f t="shared" si="42"/>
        <v>33</v>
      </c>
      <c r="AW178" s="77">
        <f t="shared" si="52"/>
        <v>37398</v>
      </c>
      <c r="BQ178" s="14" t="s">
        <v>46</v>
      </c>
      <c r="BR178" s="14" t="str">
        <f t="shared" si="43"/>
        <v>Farbula Adrián</v>
      </c>
      <c r="BS178" s="14">
        <v>2002</v>
      </c>
      <c r="BT178" s="14" t="s">
        <v>42</v>
      </c>
      <c r="BU178" s="1">
        <v>29</v>
      </c>
    </row>
    <row r="179" spans="1:73" ht="15.75">
      <c r="A179" s="176">
        <f t="shared" si="49"/>
        <v>34</v>
      </c>
      <c r="B179" s="152">
        <f t="shared" si="45"/>
        <v>20</v>
      </c>
      <c r="C179" s="81">
        <f t="shared" si="55"/>
        <v>20</v>
      </c>
      <c r="D179" s="99" t="s">
        <v>122</v>
      </c>
      <c r="E179" s="109">
        <v>37942</v>
      </c>
      <c r="F179" s="164" t="s">
        <v>54</v>
      </c>
      <c r="G179" s="86">
        <v>20</v>
      </c>
      <c r="H179" s="82">
        <v>20</v>
      </c>
      <c r="I179" s="87"/>
      <c r="J179" s="88"/>
      <c r="K179" s="89"/>
      <c r="L179" s="90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177"/>
      <c r="AC179" s="177"/>
      <c r="AD179" s="177"/>
      <c r="AE179" s="177"/>
      <c r="AF179" s="91"/>
      <c r="AG179" s="91"/>
      <c r="AH179" s="91"/>
      <c r="AI179" s="91"/>
      <c r="AJ179" s="93"/>
      <c r="AK179" s="93"/>
      <c r="AL179" s="94"/>
      <c r="AM179" s="89"/>
      <c r="AN179" s="89">
        <f t="shared" si="56"/>
        <v>20</v>
      </c>
      <c r="AO179" s="28">
        <f t="shared" si="54"/>
        <v>0</v>
      </c>
      <c r="AP179" s="28"/>
      <c r="AQ179" s="28">
        <f t="shared" si="57"/>
        <v>20</v>
      </c>
      <c r="AR179" s="215" t="str">
        <f t="shared" si="41"/>
        <v>Kovačič Matej</v>
      </c>
      <c r="AS179" s="215">
        <f t="shared" si="50"/>
        <v>2003</v>
      </c>
      <c r="AT179" s="215" t="str">
        <f t="shared" si="51"/>
        <v>Viničné</v>
      </c>
      <c r="AU179">
        <f t="shared" si="42"/>
        <v>34</v>
      </c>
      <c r="AW179" s="77">
        <f t="shared" si="52"/>
        <v>37942</v>
      </c>
      <c r="BQ179" s="14" t="s">
        <v>119</v>
      </c>
      <c r="BR179" s="14" t="str">
        <f t="shared" si="43"/>
        <v>Čech Tomáš</v>
      </c>
      <c r="BS179" s="14">
        <v>2002</v>
      </c>
      <c r="BT179" s="14" t="s">
        <v>54</v>
      </c>
      <c r="BU179" s="1">
        <v>29</v>
      </c>
    </row>
    <row r="180" spans="1:73" ht="15.75">
      <c r="A180" s="176">
        <f t="shared" si="49"/>
        <v>35</v>
      </c>
      <c r="B180" s="152">
        <f t="shared" si="45"/>
        <v>20</v>
      </c>
      <c r="C180" s="81">
        <f t="shared" si="55"/>
        <v>20</v>
      </c>
      <c r="D180" s="83" t="s">
        <v>2</v>
      </c>
      <c r="E180" s="109">
        <v>37677</v>
      </c>
      <c r="F180" s="164" t="s">
        <v>0</v>
      </c>
      <c r="G180" s="86">
        <v>20</v>
      </c>
      <c r="H180" s="82">
        <v>20</v>
      </c>
      <c r="I180" s="87"/>
      <c r="J180" s="88"/>
      <c r="K180" s="89"/>
      <c r="L180" s="90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177"/>
      <c r="AG180" s="177"/>
      <c r="AH180" s="177"/>
      <c r="AI180" s="177"/>
      <c r="AJ180" s="2"/>
      <c r="AK180" s="2"/>
      <c r="AL180" s="155"/>
      <c r="AM180" s="154"/>
      <c r="AN180" s="89">
        <f t="shared" si="56"/>
        <v>20</v>
      </c>
      <c r="AO180" s="28">
        <f t="shared" si="54"/>
        <v>0</v>
      </c>
      <c r="AP180" s="28"/>
      <c r="AQ180" s="28">
        <f t="shared" si="57"/>
        <v>20</v>
      </c>
      <c r="AR180" s="215" t="str">
        <f t="shared" si="41"/>
        <v>Krebs Jakub</v>
      </c>
      <c r="AS180" s="215">
        <f t="shared" si="50"/>
        <v>2003</v>
      </c>
      <c r="AT180" s="215" t="str">
        <f t="shared" si="51"/>
        <v>Bielenisko</v>
      </c>
      <c r="AU180">
        <f t="shared" si="42"/>
        <v>35</v>
      </c>
      <c r="AW180" s="77">
        <f t="shared" si="52"/>
        <v>37677</v>
      </c>
      <c r="BQ180" s="14" t="s">
        <v>6</v>
      </c>
      <c r="BR180" s="14" t="str">
        <f t="shared" si="43"/>
        <v>Dográcia Andrej</v>
      </c>
      <c r="BS180" s="14">
        <v>2000</v>
      </c>
      <c r="BT180" s="14" t="s">
        <v>0</v>
      </c>
      <c r="BU180" s="1">
        <v>29</v>
      </c>
    </row>
    <row r="181" spans="1:73" ht="15.75">
      <c r="A181" s="176">
        <f t="shared" si="49"/>
        <v>36</v>
      </c>
      <c r="B181" s="152">
        <f t="shared" si="45"/>
        <v>20</v>
      </c>
      <c r="C181" s="81">
        <f t="shared" si="55"/>
        <v>20</v>
      </c>
      <c r="D181" s="83" t="s">
        <v>51</v>
      </c>
      <c r="E181" s="109">
        <v>37236</v>
      </c>
      <c r="F181" s="164" t="s">
        <v>42</v>
      </c>
      <c r="G181" s="86">
        <v>20</v>
      </c>
      <c r="H181" s="82"/>
      <c r="I181" s="87">
        <v>20</v>
      </c>
      <c r="J181" s="88"/>
      <c r="K181" s="89"/>
      <c r="L181" s="90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177"/>
      <c r="AG181" s="177"/>
      <c r="AH181" s="177"/>
      <c r="AI181" s="177"/>
      <c r="AJ181" s="2"/>
      <c r="AK181" s="2"/>
      <c r="AL181" s="155"/>
      <c r="AM181" s="154"/>
      <c r="AN181" s="89">
        <f t="shared" si="56"/>
        <v>20</v>
      </c>
      <c r="AO181" s="28">
        <f t="shared" si="54"/>
        <v>0</v>
      </c>
      <c r="AP181" s="28"/>
      <c r="AQ181" s="28">
        <f t="shared" si="57"/>
        <v>20</v>
      </c>
      <c r="AR181" s="215" t="str">
        <f t="shared" si="41"/>
        <v>Škvarková Kristína</v>
      </c>
      <c r="AS181" s="215">
        <f t="shared" si="50"/>
        <v>2001</v>
      </c>
      <c r="AT181" s="215" t="str">
        <f t="shared" si="51"/>
        <v>Limbach</v>
      </c>
      <c r="AU181">
        <f t="shared" si="42"/>
        <v>36</v>
      </c>
      <c r="AW181" s="77">
        <f t="shared" si="52"/>
        <v>37236</v>
      </c>
      <c r="BQ181" s="14" t="s">
        <v>3</v>
      </c>
      <c r="BR181" s="14" t="str">
        <f t="shared" si="43"/>
        <v>Gravina Patricio</v>
      </c>
      <c r="BS181" s="14">
        <v>2000</v>
      </c>
      <c r="BT181" s="14" t="s">
        <v>0</v>
      </c>
      <c r="BU181" s="1">
        <v>29</v>
      </c>
    </row>
    <row r="182" spans="1:73" ht="15.75">
      <c r="A182" s="176">
        <f t="shared" si="49"/>
        <v>37</v>
      </c>
      <c r="B182" s="152">
        <f t="shared" si="45"/>
        <v>20</v>
      </c>
      <c r="C182" s="81">
        <f t="shared" si="55"/>
        <v>20</v>
      </c>
      <c r="D182" s="83" t="s">
        <v>356</v>
      </c>
      <c r="E182" s="109">
        <v>36969</v>
      </c>
      <c r="F182" s="164" t="s">
        <v>42</v>
      </c>
      <c r="G182" s="86">
        <v>20</v>
      </c>
      <c r="H182" s="82"/>
      <c r="I182" s="87">
        <v>20</v>
      </c>
      <c r="J182" s="88"/>
      <c r="K182" s="154"/>
      <c r="L182" s="90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177"/>
      <c r="AG182" s="177"/>
      <c r="AH182" s="177"/>
      <c r="AI182" s="177"/>
      <c r="AJ182" s="2"/>
      <c r="AK182" s="2"/>
      <c r="AL182" s="155"/>
      <c r="AM182" s="154"/>
      <c r="AN182" s="89">
        <f t="shared" si="56"/>
        <v>20</v>
      </c>
      <c r="AO182" s="28">
        <f t="shared" si="54"/>
        <v>0</v>
      </c>
      <c r="AP182" s="28"/>
      <c r="AQ182" s="28">
        <f t="shared" si="57"/>
        <v>20</v>
      </c>
      <c r="AR182" s="215" t="str">
        <f t="shared" si="41"/>
        <v>Rýdza Martina</v>
      </c>
      <c r="AS182" s="215">
        <f t="shared" si="50"/>
        <v>2001</v>
      </c>
      <c r="AT182" s="215" t="str">
        <f t="shared" si="51"/>
        <v>Limbach</v>
      </c>
      <c r="AU182">
        <f t="shared" si="42"/>
        <v>37</v>
      </c>
      <c r="AW182" s="77">
        <f t="shared" si="52"/>
        <v>36969</v>
      </c>
      <c r="BQ182" s="14" t="s">
        <v>283</v>
      </c>
      <c r="BR182" s="14" t="str">
        <f t="shared" si="43"/>
        <v>Chrkavý Oliver</v>
      </c>
      <c r="BS182" s="14">
        <v>2002</v>
      </c>
      <c r="BT182" s="14" t="s">
        <v>0</v>
      </c>
      <c r="BU182" s="1">
        <v>29</v>
      </c>
    </row>
    <row r="183" spans="1:73" ht="15.75">
      <c r="A183" s="176">
        <f t="shared" si="49"/>
        <v>38</v>
      </c>
      <c r="B183" s="152">
        <f t="shared" si="45"/>
        <v>0</v>
      </c>
      <c r="C183" s="81">
        <f t="shared" si="55"/>
        <v>0</v>
      </c>
      <c r="D183" s="83" t="s">
        <v>45</v>
      </c>
      <c r="E183" s="109">
        <v>37380</v>
      </c>
      <c r="F183" s="164" t="s">
        <v>42</v>
      </c>
      <c r="G183" s="86"/>
      <c r="H183" s="82"/>
      <c r="I183" s="87"/>
      <c r="J183" s="88"/>
      <c r="K183" s="89"/>
      <c r="L183" s="90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3"/>
      <c r="AK183" s="93"/>
      <c r="AL183" s="94"/>
      <c r="AM183" s="89"/>
      <c r="AN183" s="89">
        <f t="shared" si="56"/>
        <v>0</v>
      </c>
      <c r="AO183" s="28">
        <f t="shared" si="54"/>
        <v>0</v>
      </c>
      <c r="AP183" s="28"/>
      <c r="AQ183" s="28">
        <f t="shared" si="57"/>
        <v>0</v>
      </c>
      <c r="AR183" s="215" t="str">
        <f t="shared" si="41"/>
        <v>Čapucha Karol</v>
      </c>
      <c r="AS183" s="215">
        <f t="shared" si="50"/>
        <v>2002</v>
      </c>
      <c r="AT183" s="215" t="str">
        <f t="shared" si="51"/>
        <v>Limbach</v>
      </c>
      <c r="AU183">
        <f t="shared" si="42"/>
        <v>38</v>
      </c>
      <c r="AW183" s="77">
        <f t="shared" si="52"/>
        <v>37380</v>
      </c>
      <c r="BQ183" s="14" t="s">
        <v>284</v>
      </c>
      <c r="BR183" s="14" t="str">
        <f t="shared" si="43"/>
        <v>Mackovčin Viliam</v>
      </c>
      <c r="BS183" s="14">
        <v>2003</v>
      </c>
      <c r="BT183" s="14" t="s">
        <v>54</v>
      </c>
      <c r="BU183" s="1">
        <v>29</v>
      </c>
    </row>
    <row r="184" spans="1:73" ht="15.75">
      <c r="A184" s="176">
        <f t="shared" si="49"/>
        <v>39</v>
      </c>
      <c r="B184" s="152">
        <f t="shared" si="45"/>
        <v>0</v>
      </c>
      <c r="C184" s="81">
        <f t="shared" si="55"/>
        <v>0</v>
      </c>
      <c r="D184" s="83" t="s">
        <v>52</v>
      </c>
      <c r="E184" s="109">
        <v>37425</v>
      </c>
      <c r="F184" s="164" t="s">
        <v>42</v>
      </c>
      <c r="G184" s="86"/>
      <c r="H184" s="82"/>
      <c r="I184" s="87"/>
      <c r="J184" s="88"/>
      <c r="K184" s="154"/>
      <c r="L184" s="90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177"/>
      <c r="AG184" s="177"/>
      <c r="AH184" s="177"/>
      <c r="AI184" s="177"/>
      <c r="AJ184" s="2"/>
      <c r="AK184" s="2"/>
      <c r="AL184" s="155"/>
      <c r="AM184" s="154"/>
      <c r="AN184" s="89">
        <f t="shared" si="56"/>
        <v>0</v>
      </c>
      <c r="AO184" s="28">
        <f t="shared" si="54"/>
        <v>0</v>
      </c>
      <c r="AP184" s="28"/>
      <c r="AQ184" s="28">
        <f t="shared" si="57"/>
        <v>0</v>
      </c>
      <c r="AR184" s="215" t="str">
        <f t="shared" si="41"/>
        <v>Forner René</v>
      </c>
      <c r="AS184" s="215">
        <f t="shared" si="50"/>
        <v>2002</v>
      </c>
      <c r="AT184" s="215" t="str">
        <f t="shared" si="51"/>
        <v>Limbach</v>
      </c>
      <c r="AU184">
        <f t="shared" si="42"/>
        <v>39</v>
      </c>
      <c r="AW184" s="77">
        <f t="shared" si="52"/>
        <v>37425</v>
      </c>
      <c r="BQ184" s="14" t="s">
        <v>285</v>
      </c>
      <c r="BR184" s="14" t="str">
        <f t="shared" si="43"/>
        <v>Štrba Martin</v>
      </c>
      <c r="BS184" s="14">
        <v>1999</v>
      </c>
      <c r="BT184" s="14" t="s">
        <v>55</v>
      </c>
      <c r="BU184" s="1">
        <v>36</v>
      </c>
    </row>
    <row r="185" spans="1:73" ht="15.75">
      <c r="A185" s="176">
        <f t="shared" si="49"/>
        <v>40</v>
      </c>
      <c r="B185" s="152">
        <f t="shared" si="45"/>
        <v>0</v>
      </c>
      <c r="C185" s="81">
        <f t="shared" si="55"/>
        <v>0</v>
      </c>
      <c r="D185" s="83" t="s">
        <v>50</v>
      </c>
      <c r="E185" s="109">
        <v>37305</v>
      </c>
      <c r="F185" s="164" t="s">
        <v>42</v>
      </c>
      <c r="G185" s="86"/>
      <c r="H185" s="82"/>
      <c r="I185" s="87"/>
      <c r="J185" s="88"/>
      <c r="K185" s="154"/>
      <c r="L185" s="90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177"/>
      <c r="AG185" s="177"/>
      <c r="AH185" s="177"/>
      <c r="AI185" s="177"/>
      <c r="AJ185" s="2"/>
      <c r="AK185" s="2"/>
      <c r="AL185" s="155"/>
      <c r="AM185" s="154"/>
      <c r="AN185" s="89">
        <f t="shared" si="56"/>
        <v>0</v>
      </c>
      <c r="AO185" s="28">
        <f t="shared" si="54"/>
        <v>0</v>
      </c>
      <c r="AP185" s="28"/>
      <c r="AQ185" s="28">
        <f t="shared" si="57"/>
        <v>0</v>
      </c>
      <c r="AR185" s="215" t="str">
        <f t="shared" si="41"/>
        <v>Fornerová Sára</v>
      </c>
      <c r="AS185" s="215">
        <f t="shared" si="50"/>
        <v>2002</v>
      </c>
      <c r="AT185" s="215" t="str">
        <f t="shared" si="51"/>
        <v>Limbach</v>
      </c>
      <c r="AU185">
        <f t="shared" si="42"/>
        <v>40</v>
      </c>
      <c r="AW185" s="77">
        <f t="shared" si="52"/>
        <v>37305</v>
      </c>
      <c r="BQ185" s="14" t="s">
        <v>286</v>
      </c>
      <c r="BR185" s="14" t="str">
        <f t="shared" si="43"/>
        <v>Čambal Samuel</v>
      </c>
      <c r="BS185" s="14">
        <v>2001</v>
      </c>
      <c r="BT185" s="14" t="s">
        <v>54</v>
      </c>
      <c r="BU185" s="1">
        <v>37</v>
      </c>
    </row>
    <row r="186" spans="1:73" ht="15.75">
      <c r="A186" s="176">
        <f t="shared" si="49"/>
        <v>41</v>
      </c>
      <c r="B186" s="152">
        <f t="shared" si="45"/>
        <v>0</v>
      </c>
      <c r="C186" s="81">
        <f t="shared" si="55"/>
        <v>0</v>
      </c>
      <c r="D186" s="83" t="s">
        <v>44</v>
      </c>
      <c r="E186" s="109">
        <v>36888</v>
      </c>
      <c r="F186" s="164" t="s">
        <v>42</v>
      </c>
      <c r="G186" s="86"/>
      <c r="H186" s="82"/>
      <c r="I186" s="87"/>
      <c r="J186" s="88"/>
      <c r="K186" s="154"/>
      <c r="L186" s="90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3"/>
      <c r="AK186" s="93"/>
      <c r="AL186" s="94"/>
      <c r="AM186" s="89"/>
      <c r="AN186" s="89">
        <f t="shared" si="56"/>
        <v>0</v>
      </c>
      <c r="AO186" s="28">
        <f t="shared" si="54"/>
        <v>0</v>
      </c>
      <c r="AP186" s="28"/>
      <c r="AQ186" s="28">
        <f t="shared" si="57"/>
        <v>0</v>
      </c>
      <c r="AR186" s="215" t="str">
        <f t="shared" si="41"/>
        <v>Hlavatovič Ondrej</v>
      </c>
      <c r="AS186" s="215">
        <f t="shared" si="50"/>
        <v>2000</v>
      </c>
      <c r="AT186" s="215" t="str">
        <f t="shared" si="51"/>
        <v>Limbach</v>
      </c>
      <c r="AU186">
        <f t="shared" si="42"/>
        <v>41</v>
      </c>
      <c r="AW186" s="77">
        <f t="shared" si="52"/>
        <v>36888</v>
      </c>
      <c r="BQ186" s="14" t="s">
        <v>287</v>
      </c>
      <c r="BR186" s="14" t="str">
        <f t="shared" si="43"/>
        <v>Bednáriková Jana</v>
      </c>
      <c r="BS186" s="14">
        <v>1999</v>
      </c>
      <c r="BT186" s="14" t="s">
        <v>55</v>
      </c>
      <c r="BU186" s="1">
        <v>37</v>
      </c>
    </row>
    <row r="187" spans="1:73" ht="15.75">
      <c r="A187" s="176">
        <f t="shared" si="49"/>
        <v>42</v>
      </c>
      <c r="B187" s="152">
        <f t="shared" si="45"/>
        <v>0</v>
      </c>
      <c r="C187" s="81">
        <f t="shared" si="55"/>
        <v>0</v>
      </c>
      <c r="D187" s="83" t="s">
        <v>124</v>
      </c>
      <c r="E187" s="109">
        <v>37848</v>
      </c>
      <c r="F187" s="164" t="s">
        <v>54</v>
      </c>
      <c r="G187" s="86"/>
      <c r="H187" s="82"/>
      <c r="I187" s="87"/>
      <c r="J187" s="88"/>
      <c r="K187" s="154"/>
      <c r="L187" s="90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177"/>
      <c r="AG187" s="177"/>
      <c r="AH187" s="177"/>
      <c r="AI187" s="177"/>
      <c r="AJ187" s="2"/>
      <c r="AK187" s="2"/>
      <c r="AL187" s="155"/>
      <c r="AM187" s="154"/>
      <c r="AN187" s="89">
        <f t="shared" si="56"/>
        <v>0</v>
      </c>
      <c r="AO187" s="28">
        <f t="shared" si="54"/>
        <v>0</v>
      </c>
      <c r="AP187" s="28"/>
      <c r="AQ187" s="28">
        <f t="shared" si="57"/>
        <v>0</v>
      </c>
      <c r="AR187" s="215" t="str">
        <f t="shared" si="41"/>
        <v>Ifčic Tomáš</v>
      </c>
      <c r="AS187" s="215">
        <f t="shared" si="50"/>
        <v>2003</v>
      </c>
      <c r="AT187" s="215" t="str">
        <f t="shared" si="51"/>
        <v>Viničné</v>
      </c>
      <c r="AU187">
        <f t="shared" si="42"/>
        <v>42</v>
      </c>
      <c r="AW187" s="77">
        <f t="shared" si="52"/>
        <v>37848</v>
      </c>
      <c r="BQ187" s="14" t="s">
        <v>288</v>
      </c>
      <c r="BR187" s="14" t="str">
        <f t="shared" si="43"/>
        <v>Benčúriková Patrícia</v>
      </c>
      <c r="BS187" s="14">
        <v>1999</v>
      </c>
      <c r="BT187" s="14" t="s">
        <v>55</v>
      </c>
      <c r="BU187" s="1">
        <v>37</v>
      </c>
    </row>
    <row r="188" spans="1:73" ht="15.75">
      <c r="A188" s="176">
        <f t="shared" si="49"/>
        <v>43</v>
      </c>
      <c r="B188" s="152">
        <f t="shared" si="45"/>
        <v>0</v>
      </c>
      <c r="C188" s="81">
        <f t="shared" si="55"/>
        <v>0</v>
      </c>
      <c r="D188" s="83" t="s">
        <v>82</v>
      </c>
      <c r="E188" s="109">
        <v>36976</v>
      </c>
      <c r="F188" s="164" t="s">
        <v>55</v>
      </c>
      <c r="G188" s="86"/>
      <c r="H188" s="82"/>
      <c r="I188" s="87"/>
      <c r="J188" s="88"/>
      <c r="K188" s="154"/>
      <c r="L188" s="90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177"/>
      <c r="AG188" s="177"/>
      <c r="AH188" s="177"/>
      <c r="AI188" s="177"/>
      <c r="AJ188" s="2"/>
      <c r="AK188" s="2"/>
      <c r="AL188" s="155"/>
      <c r="AM188" s="154"/>
      <c r="AN188" s="89">
        <f t="shared" si="56"/>
        <v>0</v>
      </c>
      <c r="AO188" s="28">
        <f t="shared" si="54"/>
        <v>0</v>
      </c>
      <c r="AP188" s="28"/>
      <c r="AQ188" s="28">
        <f t="shared" si="57"/>
        <v>0</v>
      </c>
      <c r="AR188" s="215" t="str">
        <f t="shared" si="41"/>
        <v>Knap Vlater</v>
      </c>
      <c r="AS188" s="215">
        <f t="shared" si="50"/>
        <v>2001</v>
      </c>
      <c r="AT188" s="215" t="str">
        <f t="shared" si="51"/>
        <v>Fándlyho</v>
      </c>
      <c r="AU188">
        <f t="shared" si="42"/>
        <v>43</v>
      </c>
      <c r="AW188" s="77">
        <f t="shared" si="52"/>
        <v>36976</v>
      </c>
      <c r="BQ188" s="14" t="s">
        <v>289</v>
      </c>
      <c r="BR188" s="14" t="str">
        <f t="shared" si="43"/>
        <v>Gašparičová Dominika</v>
      </c>
      <c r="BS188" s="14">
        <v>2000</v>
      </c>
      <c r="BT188" s="14" t="s">
        <v>206</v>
      </c>
      <c r="BU188" s="1">
        <v>37</v>
      </c>
    </row>
    <row r="189" spans="1:73" ht="15.75">
      <c r="A189" s="176">
        <f t="shared" si="49"/>
        <v>44</v>
      </c>
      <c r="B189" s="152">
        <f t="shared" si="45"/>
        <v>0</v>
      </c>
      <c r="C189" s="81">
        <f t="shared" si="55"/>
        <v>0</v>
      </c>
      <c r="D189" s="83" t="s">
        <v>123</v>
      </c>
      <c r="E189" s="109">
        <v>38145</v>
      </c>
      <c r="F189" s="164" t="s">
        <v>54</v>
      </c>
      <c r="G189" s="86"/>
      <c r="H189" s="82"/>
      <c r="I189" s="87"/>
      <c r="J189" s="88"/>
      <c r="K189" s="89"/>
      <c r="L189" s="90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177"/>
      <c r="AG189" s="177"/>
      <c r="AH189" s="177"/>
      <c r="AI189" s="177"/>
      <c r="AJ189" s="2"/>
      <c r="AK189" s="2"/>
      <c r="AL189" s="155"/>
      <c r="AM189" s="154"/>
      <c r="AN189" s="89">
        <f t="shared" si="56"/>
        <v>0</v>
      </c>
      <c r="AO189" s="28">
        <f t="shared" si="54"/>
        <v>0</v>
      </c>
      <c r="AP189" s="28"/>
      <c r="AQ189" s="28">
        <f t="shared" si="57"/>
        <v>0</v>
      </c>
      <c r="AR189" s="215" t="str">
        <f t="shared" si="41"/>
        <v>Noskovičová Viktória</v>
      </c>
      <c r="AS189" s="215">
        <f t="shared" si="50"/>
        <v>2004</v>
      </c>
      <c r="AT189" s="215" t="str">
        <f t="shared" si="51"/>
        <v>Viničné</v>
      </c>
      <c r="AU189">
        <f t="shared" si="42"/>
        <v>44</v>
      </c>
      <c r="AW189" s="77">
        <f t="shared" si="52"/>
        <v>38145</v>
      </c>
      <c r="BQ189" s="14" t="s">
        <v>290</v>
      </c>
      <c r="BR189" s="14" t="str">
        <f t="shared" si="43"/>
        <v>Noga Martin</v>
      </c>
      <c r="BS189" s="14">
        <v>2000</v>
      </c>
      <c r="BT189" s="14" t="s">
        <v>206</v>
      </c>
      <c r="BU189" s="1">
        <v>37</v>
      </c>
    </row>
    <row r="190" spans="1:73" ht="15.75">
      <c r="A190" s="176">
        <f t="shared" si="49"/>
        <v>45</v>
      </c>
      <c r="B190" s="152">
        <f t="shared" si="45"/>
        <v>0</v>
      </c>
      <c r="C190" s="81">
        <f t="shared" si="55"/>
        <v>0</v>
      </c>
      <c r="D190" s="83" t="s">
        <v>48</v>
      </c>
      <c r="E190" s="109">
        <v>37187</v>
      </c>
      <c r="F190" s="164" t="s">
        <v>42</v>
      </c>
      <c r="G190" s="86"/>
      <c r="H190" s="87"/>
      <c r="I190" s="87"/>
      <c r="J190" s="88"/>
      <c r="K190" s="154"/>
      <c r="L190" s="90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177"/>
      <c r="AG190" s="177"/>
      <c r="AH190" s="177"/>
      <c r="AI190" s="177"/>
      <c r="AJ190" s="2"/>
      <c r="AK190" s="2"/>
      <c r="AL190" s="155"/>
      <c r="AM190" s="154"/>
      <c r="AN190" s="89">
        <f t="shared" si="56"/>
        <v>0</v>
      </c>
      <c r="AO190" s="28">
        <f t="shared" si="54"/>
        <v>0</v>
      </c>
      <c r="AP190" s="28"/>
      <c r="AQ190" s="28">
        <f t="shared" si="57"/>
        <v>0</v>
      </c>
      <c r="AR190" s="215" t="str">
        <f t="shared" si="41"/>
        <v>Šterbela Matúš</v>
      </c>
      <c r="AS190" s="215">
        <f t="shared" si="50"/>
        <v>2001</v>
      </c>
      <c r="AT190" s="215" t="str">
        <f t="shared" si="51"/>
        <v>Limbach</v>
      </c>
      <c r="AU190">
        <f t="shared" si="42"/>
        <v>45</v>
      </c>
      <c r="AW190" s="77">
        <f t="shared" si="52"/>
        <v>37187</v>
      </c>
      <c r="BQ190" s="14" t="s">
        <v>291</v>
      </c>
      <c r="BR190" s="14" t="str">
        <f t="shared" si="43"/>
        <v>Demovič Matúš</v>
      </c>
      <c r="BS190" s="14">
        <v>2002</v>
      </c>
      <c r="BT190" s="14" t="s">
        <v>0</v>
      </c>
      <c r="BU190" s="1">
        <v>42</v>
      </c>
    </row>
    <row r="191" spans="1:73" ht="15.75">
      <c r="A191" s="176">
        <f t="shared" si="49"/>
        <v>46</v>
      </c>
      <c r="B191" s="152">
        <f t="shared" si="45"/>
        <v>0</v>
      </c>
      <c r="C191" s="81">
        <f t="shared" si="55"/>
        <v>0</v>
      </c>
      <c r="D191" s="83" t="s">
        <v>53</v>
      </c>
      <c r="E191" s="109">
        <v>37894</v>
      </c>
      <c r="F191" s="164" t="s">
        <v>42</v>
      </c>
      <c r="G191" s="86"/>
      <c r="H191" s="82"/>
      <c r="I191" s="87"/>
      <c r="J191" s="88"/>
      <c r="K191" s="154"/>
      <c r="L191" s="90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177"/>
      <c r="AG191" s="177"/>
      <c r="AH191" s="177"/>
      <c r="AI191" s="177"/>
      <c r="AJ191" s="2"/>
      <c r="AK191" s="2"/>
      <c r="AL191" s="155"/>
      <c r="AM191" s="154"/>
      <c r="AN191" s="89">
        <f t="shared" si="56"/>
        <v>0</v>
      </c>
      <c r="AO191" s="28">
        <f t="shared" si="54"/>
        <v>0</v>
      </c>
      <c r="AP191" s="28"/>
      <c r="AQ191" s="28">
        <f t="shared" si="57"/>
        <v>0</v>
      </c>
      <c r="AR191" s="215" t="str">
        <f t="shared" si="41"/>
        <v>Vaculčiaková Lea</v>
      </c>
      <c r="AS191" s="215">
        <f t="shared" si="50"/>
        <v>2003</v>
      </c>
      <c r="AT191" s="215" t="str">
        <f t="shared" si="51"/>
        <v>Limbach</v>
      </c>
      <c r="AU191">
        <f t="shared" si="42"/>
        <v>46</v>
      </c>
      <c r="AW191" s="77">
        <f t="shared" si="52"/>
        <v>37894</v>
      </c>
      <c r="BQ191" s="14" t="s">
        <v>292</v>
      </c>
      <c r="BR191" s="14" t="str">
        <f t="shared" si="43"/>
        <v>Puchý Ľudovít</v>
      </c>
      <c r="BS191" s="14">
        <v>2001</v>
      </c>
      <c r="BT191" s="14" t="s">
        <v>55</v>
      </c>
      <c r="BU191" s="1">
        <v>43</v>
      </c>
    </row>
    <row r="192" spans="1:73" ht="15.75">
      <c r="A192" s="176">
        <f t="shared" si="49"/>
        <v>47</v>
      </c>
      <c r="B192" s="152">
        <f t="shared" si="45"/>
        <v>0</v>
      </c>
      <c r="C192" s="81">
        <f t="shared" si="55"/>
        <v>0</v>
      </c>
      <c r="D192" s="83"/>
      <c r="E192" s="109"/>
      <c r="F192" s="164"/>
      <c r="G192" s="86"/>
      <c r="H192" s="82"/>
      <c r="I192" s="111"/>
      <c r="J192" s="112"/>
      <c r="K192" s="154"/>
      <c r="L192" s="114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78"/>
      <c r="AG192" s="178"/>
      <c r="AH192" s="178"/>
      <c r="AI192" s="178"/>
      <c r="AJ192" s="179"/>
      <c r="AK192" s="179"/>
      <c r="AL192" s="180"/>
      <c r="AM192" s="154"/>
      <c r="AN192" s="89">
        <f t="shared" si="56"/>
        <v>0</v>
      </c>
      <c r="AO192" s="28">
        <f t="shared" si="54"/>
        <v>0</v>
      </c>
      <c r="AP192" s="28"/>
      <c r="AQ192" s="28">
        <f t="shared" si="57"/>
        <v>0</v>
      </c>
      <c r="AR192" s="215">
        <f t="shared" si="41"/>
        <v>0</v>
      </c>
      <c r="AS192" s="215">
        <f t="shared" si="50"/>
        <v>1900</v>
      </c>
      <c r="AT192" s="215">
        <f t="shared" si="51"/>
        <v>0</v>
      </c>
      <c r="AU192">
        <f t="shared" si="42"/>
        <v>47</v>
      </c>
      <c r="AW192" s="77">
        <f t="shared" si="52"/>
        <v>0</v>
      </c>
      <c r="BQ192" s="14" t="s">
        <v>61</v>
      </c>
      <c r="BR192" s="14" t="str">
        <f t="shared" si="43"/>
        <v>Bereník Adam</v>
      </c>
      <c r="BS192" s="14">
        <v>1999</v>
      </c>
      <c r="BT192" s="14" t="s">
        <v>55</v>
      </c>
      <c r="BU192" s="1">
        <v>43</v>
      </c>
    </row>
    <row r="193" spans="1:73" ht="15.75">
      <c r="A193" s="176">
        <f t="shared" si="49"/>
        <v>48</v>
      </c>
      <c r="B193" s="152">
        <f t="shared" si="45"/>
        <v>0</v>
      </c>
      <c r="C193" s="81">
        <f t="shared" si="55"/>
        <v>0</v>
      </c>
      <c r="D193" s="83"/>
      <c r="E193" s="109"/>
      <c r="F193" s="164"/>
      <c r="G193" s="86"/>
      <c r="H193" s="82"/>
      <c r="I193" s="111"/>
      <c r="J193" s="112"/>
      <c r="K193" s="154"/>
      <c r="L193" s="114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78"/>
      <c r="AG193" s="178"/>
      <c r="AH193" s="178"/>
      <c r="AI193" s="178"/>
      <c r="AJ193" s="179"/>
      <c r="AK193" s="179"/>
      <c r="AL193" s="180"/>
      <c r="AM193" s="154"/>
      <c r="AN193" s="89">
        <f t="shared" si="56"/>
        <v>0</v>
      </c>
      <c r="AO193" s="28">
        <f t="shared" si="54"/>
        <v>0</v>
      </c>
      <c r="AP193" s="28"/>
      <c r="AQ193" s="28">
        <f t="shared" si="57"/>
        <v>0</v>
      </c>
      <c r="AR193" s="215">
        <f t="shared" si="41"/>
        <v>0</v>
      </c>
      <c r="AS193" s="215">
        <f t="shared" si="50"/>
        <v>1900</v>
      </c>
      <c r="AT193" s="215">
        <f t="shared" si="51"/>
        <v>0</v>
      </c>
      <c r="AU193">
        <f t="shared" si="42"/>
        <v>48</v>
      </c>
      <c r="AW193" s="77">
        <f t="shared" si="52"/>
        <v>0</v>
      </c>
      <c r="BQ193" s="14" t="s">
        <v>293</v>
      </c>
      <c r="BR193" s="14" t="str">
        <f t="shared" si="43"/>
        <v>Bottan Marek</v>
      </c>
      <c r="BS193" s="14">
        <v>2002</v>
      </c>
      <c r="BT193" s="14" t="s">
        <v>55</v>
      </c>
      <c r="BU193" s="1">
        <v>43</v>
      </c>
    </row>
    <row r="194" spans="1:73" ht="15.75">
      <c r="A194" s="176">
        <f t="shared" si="49"/>
        <v>49</v>
      </c>
      <c r="B194" s="152">
        <f t="shared" si="45"/>
        <v>0</v>
      </c>
      <c r="C194" s="81">
        <f t="shared" si="55"/>
        <v>0</v>
      </c>
      <c r="D194" s="83"/>
      <c r="E194" s="109"/>
      <c r="F194" s="164"/>
      <c r="G194" s="86"/>
      <c r="H194" s="82"/>
      <c r="I194" s="111"/>
      <c r="J194" s="112"/>
      <c r="K194" s="89"/>
      <c r="L194" s="114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6"/>
      <c r="AK194" s="116"/>
      <c r="AL194" s="117"/>
      <c r="AM194" s="89"/>
      <c r="AN194" s="89">
        <f t="shared" si="56"/>
        <v>0</v>
      </c>
      <c r="AO194" s="28">
        <f t="shared" si="54"/>
        <v>0</v>
      </c>
      <c r="AP194" s="28"/>
      <c r="AQ194" s="28">
        <f t="shared" si="57"/>
        <v>0</v>
      </c>
      <c r="AR194" s="215">
        <f t="shared" si="41"/>
        <v>0</v>
      </c>
      <c r="AS194" s="215">
        <f t="shared" si="50"/>
        <v>1900</v>
      </c>
      <c r="AT194" s="215">
        <f t="shared" si="51"/>
        <v>0</v>
      </c>
      <c r="AU194">
        <f t="shared" si="42"/>
        <v>49</v>
      </c>
      <c r="AW194" s="77">
        <f t="shared" si="52"/>
        <v>0</v>
      </c>
      <c r="BQ194" s="14" t="s">
        <v>294</v>
      </c>
      <c r="BR194" s="14" t="str">
        <f t="shared" si="43"/>
        <v>Cibulková Zuzana</v>
      </c>
      <c r="BS194" s="14">
        <v>2002</v>
      </c>
      <c r="BT194" s="14" t="s">
        <v>55</v>
      </c>
      <c r="BU194" s="1">
        <v>43</v>
      </c>
    </row>
    <row r="195" spans="1:73" ht="15.75">
      <c r="A195" s="181">
        <f t="shared" si="49"/>
        <v>50</v>
      </c>
      <c r="B195" s="152">
        <f t="shared" si="45"/>
        <v>0</v>
      </c>
      <c r="C195" s="81">
        <f t="shared" si="55"/>
        <v>0</v>
      </c>
      <c r="D195" s="83"/>
      <c r="E195" s="109"/>
      <c r="F195" s="164"/>
      <c r="G195" s="86"/>
      <c r="H195" s="82"/>
      <c r="I195" s="156"/>
      <c r="J195" s="88"/>
      <c r="K195" s="154"/>
      <c r="L195" s="90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177"/>
      <c r="AG195" s="177"/>
      <c r="AH195" s="177"/>
      <c r="AI195" s="177"/>
      <c r="AJ195" s="2"/>
      <c r="AK195" s="2"/>
      <c r="AL195" s="155"/>
      <c r="AM195" s="154"/>
      <c r="AN195" s="89">
        <f t="shared" si="56"/>
        <v>0</v>
      </c>
      <c r="AO195" s="28">
        <f t="shared" si="54"/>
        <v>0</v>
      </c>
      <c r="AP195" s="28"/>
      <c r="AQ195" s="28">
        <f t="shared" si="57"/>
        <v>0</v>
      </c>
      <c r="AR195" s="215">
        <f t="shared" si="41"/>
        <v>0</v>
      </c>
      <c r="AS195" s="215">
        <f t="shared" si="50"/>
        <v>1900</v>
      </c>
      <c r="AT195" s="215">
        <f t="shared" si="51"/>
        <v>0</v>
      </c>
      <c r="AU195">
        <f t="shared" si="42"/>
        <v>50</v>
      </c>
      <c r="AW195" s="77">
        <f t="shared" si="52"/>
        <v>0</v>
      </c>
      <c r="BQ195" s="14" t="s">
        <v>295</v>
      </c>
      <c r="BR195" s="14" t="str">
        <f t="shared" si="43"/>
        <v>Fekete Dominik</v>
      </c>
      <c r="BS195" s="14">
        <v>2002</v>
      </c>
      <c r="BT195" s="14" t="s">
        <v>54</v>
      </c>
      <c r="BU195" s="1">
        <v>43</v>
      </c>
    </row>
    <row r="196" spans="1:73" ht="15.75">
      <c r="A196" s="181">
        <f t="shared" si="49"/>
        <v>51</v>
      </c>
      <c r="B196" s="152">
        <f t="shared" si="45"/>
        <v>0</v>
      </c>
      <c r="C196" s="81">
        <f t="shared" si="55"/>
        <v>0</v>
      </c>
      <c r="D196" s="83"/>
      <c r="E196" s="109"/>
      <c r="F196" s="164"/>
      <c r="G196" s="86"/>
      <c r="H196" s="82"/>
      <c r="I196" s="156"/>
      <c r="J196" s="88"/>
      <c r="K196" s="89"/>
      <c r="L196" s="90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3"/>
      <c r="AK196" s="93"/>
      <c r="AL196" s="94"/>
      <c r="AM196" s="89"/>
      <c r="AN196" s="89">
        <f t="shared" si="56"/>
        <v>0</v>
      </c>
      <c r="AO196" s="28">
        <f t="shared" si="54"/>
        <v>0</v>
      </c>
      <c r="AP196" s="28"/>
      <c r="AQ196" s="28">
        <f t="shared" si="57"/>
        <v>0</v>
      </c>
      <c r="AR196" s="215">
        <f t="shared" si="41"/>
        <v>0</v>
      </c>
      <c r="AS196" s="215">
        <f t="shared" si="50"/>
        <v>1900</v>
      </c>
      <c r="AT196" s="215">
        <f t="shared" si="51"/>
        <v>0</v>
      </c>
      <c r="AU196">
        <f t="shared" si="42"/>
        <v>51</v>
      </c>
      <c r="AW196" s="77">
        <f t="shared" si="52"/>
        <v>0</v>
      </c>
      <c r="BQ196" s="14" t="s">
        <v>296</v>
      </c>
      <c r="BR196" s="14" t="str">
        <f t="shared" si="43"/>
        <v>Ferková Lenka</v>
      </c>
      <c r="BS196" s="14">
        <v>2001</v>
      </c>
      <c r="BT196" s="14" t="s">
        <v>55</v>
      </c>
      <c r="BU196" s="1">
        <v>43</v>
      </c>
    </row>
    <row r="197" spans="1:73" ht="15.75">
      <c r="A197" s="181">
        <f t="shared" si="49"/>
        <v>52</v>
      </c>
      <c r="B197" s="152">
        <f t="shared" si="45"/>
        <v>0</v>
      </c>
      <c r="C197" s="81">
        <f t="shared" si="55"/>
        <v>0</v>
      </c>
      <c r="D197" s="83"/>
      <c r="E197" s="109"/>
      <c r="F197" s="164"/>
      <c r="G197" s="86"/>
      <c r="H197" s="82"/>
      <c r="I197" s="156"/>
      <c r="J197" s="88"/>
      <c r="K197" s="89"/>
      <c r="L197" s="90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3"/>
      <c r="AK197" s="93"/>
      <c r="AL197" s="94"/>
      <c r="AM197" s="89"/>
      <c r="AN197" s="89">
        <f t="shared" si="56"/>
        <v>0</v>
      </c>
      <c r="AO197" s="28">
        <f t="shared" si="54"/>
        <v>0</v>
      </c>
      <c r="AP197" s="28"/>
      <c r="AQ197" s="28">
        <f t="shared" si="57"/>
        <v>0</v>
      </c>
      <c r="AR197" s="215">
        <f t="shared" si="41"/>
        <v>0</v>
      </c>
      <c r="AS197" s="215">
        <f t="shared" si="50"/>
        <v>1900</v>
      </c>
      <c r="AT197" s="215">
        <f t="shared" si="51"/>
        <v>0</v>
      </c>
      <c r="AU197">
        <f t="shared" si="42"/>
        <v>52</v>
      </c>
      <c r="AW197" s="77">
        <f t="shared" si="52"/>
        <v>0</v>
      </c>
      <c r="BQ197" s="14" t="s">
        <v>297</v>
      </c>
      <c r="BR197" s="14" t="str">
        <f t="shared" si="43"/>
        <v>Fischerová Simona</v>
      </c>
      <c r="BS197" s="14">
        <v>2001</v>
      </c>
      <c r="BT197" s="14" t="s">
        <v>55</v>
      </c>
      <c r="BU197" s="1">
        <v>43</v>
      </c>
    </row>
    <row r="198" spans="1:73" ht="15.75">
      <c r="A198" s="181">
        <f t="shared" si="49"/>
        <v>53</v>
      </c>
      <c r="B198" s="152">
        <f t="shared" si="45"/>
        <v>0</v>
      </c>
      <c r="C198" s="81">
        <f t="shared" si="55"/>
        <v>0</v>
      </c>
      <c r="D198" s="163"/>
      <c r="E198" s="109"/>
      <c r="F198" s="164"/>
      <c r="G198" s="86"/>
      <c r="H198" s="82"/>
      <c r="I198" s="157"/>
      <c r="J198" s="112"/>
      <c r="K198" s="182"/>
      <c r="L198" s="114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78"/>
      <c r="AH198" s="178"/>
      <c r="AI198" s="178"/>
      <c r="AJ198" s="179"/>
      <c r="AK198" s="179"/>
      <c r="AL198" s="180"/>
      <c r="AM198" s="182"/>
      <c r="AN198" s="89">
        <f t="shared" si="56"/>
        <v>0</v>
      </c>
      <c r="AO198" s="28">
        <f t="shared" si="54"/>
        <v>0</v>
      </c>
      <c r="AP198" s="28"/>
      <c r="AQ198" s="28">
        <f t="shared" si="57"/>
        <v>0</v>
      </c>
      <c r="AR198" s="215">
        <f t="shared" si="41"/>
        <v>0</v>
      </c>
      <c r="AS198" s="215">
        <f t="shared" si="50"/>
        <v>1900</v>
      </c>
      <c r="AT198" s="215">
        <f t="shared" si="51"/>
        <v>0</v>
      </c>
      <c r="AU198">
        <f t="shared" si="42"/>
        <v>53</v>
      </c>
      <c r="AW198" s="77">
        <f t="shared" si="52"/>
        <v>0</v>
      </c>
      <c r="BQ198" s="14" t="s">
        <v>298</v>
      </c>
      <c r="BR198" s="14" t="str">
        <f t="shared" si="43"/>
        <v>Klepsatelová Lucia</v>
      </c>
      <c r="BS198" s="14">
        <v>2000</v>
      </c>
      <c r="BT198" s="14" t="s">
        <v>55</v>
      </c>
      <c r="BU198" s="1">
        <v>43</v>
      </c>
    </row>
    <row r="199" spans="1:73" ht="15.75">
      <c r="A199" s="181">
        <f t="shared" si="49"/>
        <v>54</v>
      </c>
      <c r="B199" s="152">
        <f t="shared" si="45"/>
        <v>0</v>
      </c>
      <c r="C199" s="81">
        <f t="shared" si="55"/>
        <v>0</v>
      </c>
      <c r="D199" s="163"/>
      <c r="E199" s="109"/>
      <c r="F199" s="164"/>
      <c r="G199" s="86"/>
      <c r="H199" s="82"/>
      <c r="I199" s="157"/>
      <c r="J199" s="112"/>
      <c r="K199" s="113"/>
      <c r="L199" s="114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6"/>
      <c r="AK199" s="116"/>
      <c r="AL199" s="117"/>
      <c r="AM199" s="113"/>
      <c r="AN199" s="89">
        <f t="shared" si="56"/>
        <v>0</v>
      </c>
      <c r="AO199" s="28">
        <f t="shared" si="54"/>
        <v>0</v>
      </c>
      <c r="AP199" s="28"/>
      <c r="AQ199" s="28">
        <f t="shared" si="57"/>
        <v>0</v>
      </c>
      <c r="AR199" s="215">
        <f aca="true" t="shared" si="58" ref="AR199:AR262">D199</f>
        <v>0</v>
      </c>
      <c r="AS199" s="215">
        <f t="shared" si="50"/>
        <v>1900</v>
      </c>
      <c r="AT199" s="215">
        <f t="shared" si="51"/>
        <v>0</v>
      </c>
      <c r="AU199">
        <f aca="true" t="shared" si="59" ref="AU199:AU262">A199</f>
        <v>54</v>
      </c>
      <c r="AW199" s="77">
        <f t="shared" si="52"/>
        <v>0</v>
      </c>
      <c r="BQ199" s="14" t="s">
        <v>299</v>
      </c>
      <c r="BR199" s="14" t="str">
        <f t="shared" si="43"/>
        <v>Knap Valter</v>
      </c>
      <c r="BS199" s="14">
        <v>2001</v>
      </c>
      <c r="BT199" s="14" t="s">
        <v>55</v>
      </c>
      <c r="BU199" s="1">
        <v>43</v>
      </c>
    </row>
    <row r="200" spans="1:73" ht="15.75">
      <c r="A200" s="181">
        <f t="shared" si="49"/>
        <v>55</v>
      </c>
      <c r="B200" s="152">
        <f t="shared" si="45"/>
        <v>0</v>
      </c>
      <c r="C200" s="81">
        <f t="shared" si="55"/>
        <v>0</v>
      </c>
      <c r="D200" s="163"/>
      <c r="E200" s="109"/>
      <c r="F200" s="164"/>
      <c r="G200" s="86"/>
      <c r="H200" s="110"/>
      <c r="I200" s="157"/>
      <c r="J200" s="112"/>
      <c r="K200" s="182"/>
      <c r="L200" s="114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78"/>
      <c r="AG200" s="178"/>
      <c r="AH200" s="178"/>
      <c r="AI200" s="178"/>
      <c r="AJ200" s="179"/>
      <c r="AK200" s="179"/>
      <c r="AL200" s="180"/>
      <c r="AM200" s="182"/>
      <c r="AN200" s="113">
        <f t="shared" si="56"/>
        <v>0</v>
      </c>
      <c r="AO200" s="28">
        <f t="shared" si="54"/>
        <v>0</v>
      </c>
      <c r="AP200" s="28"/>
      <c r="AQ200" s="28">
        <f t="shared" si="57"/>
        <v>0</v>
      </c>
      <c r="AR200" s="215">
        <f t="shared" si="58"/>
        <v>0</v>
      </c>
      <c r="AS200" s="215">
        <f t="shared" si="50"/>
        <v>1900</v>
      </c>
      <c r="AT200" s="215">
        <f t="shared" si="51"/>
        <v>0</v>
      </c>
      <c r="AU200">
        <f t="shared" si="59"/>
        <v>55</v>
      </c>
      <c r="AW200" s="77">
        <f t="shared" si="52"/>
        <v>0</v>
      </c>
      <c r="BQ200" s="14" t="s">
        <v>300</v>
      </c>
      <c r="BR200" s="14" t="str">
        <f aca="true" t="shared" si="60" ref="BR200:BR263">TRIM(BQ200)</f>
        <v>Ligyak Daniel</v>
      </c>
      <c r="BS200" s="14">
        <v>2002</v>
      </c>
      <c r="BT200" s="14" t="s">
        <v>54</v>
      </c>
      <c r="BU200" s="1">
        <v>43</v>
      </c>
    </row>
    <row r="201" spans="1:73" ht="15.75">
      <c r="A201" s="181">
        <f>A200+1</f>
        <v>56</v>
      </c>
      <c r="B201" s="152">
        <f t="shared" si="45"/>
        <v>0</v>
      </c>
      <c r="C201" s="81">
        <f t="shared" si="55"/>
        <v>0</v>
      </c>
      <c r="D201" s="83"/>
      <c r="E201" s="109"/>
      <c r="F201" s="164"/>
      <c r="G201" s="86"/>
      <c r="H201" s="82"/>
      <c r="I201" s="87"/>
      <c r="J201" s="88"/>
      <c r="K201" s="154"/>
      <c r="L201" s="90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177"/>
      <c r="AG201" s="177"/>
      <c r="AH201" s="177"/>
      <c r="AI201" s="177"/>
      <c r="AJ201" s="2"/>
      <c r="AK201" s="2"/>
      <c r="AL201" s="155"/>
      <c r="AM201" s="154"/>
      <c r="AN201" s="113">
        <f t="shared" si="56"/>
        <v>0</v>
      </c>
      <c r="AO201" s="28">
        <f t="shared" si="54"/>
        <v>0</v>
      </c>
      <c r="AP201" s="28"/>
      <c r="AQ201" s="28">
        <f t="shared" si="57"/>
        <v>0</v>
      </c>
      <c r="AR201" s="215">
        <f t="shared" si="58"/>
        <v>0</v>
      </c>
      <c r="AS201" s="215">
        <f t="shared" si="50"/>
        <v>1900</v>
      </c>
      <c r="AT201" s="215">
        <f t="shared" si="51"/>
        <v>0</v>
      </c>
      <c r="AU201">
        <f t="shared" si="59"/>
        <v>56</v>
      </c>
      <c r="AW201" s="77">
        <f t="shared" si="52"/>
        <v>0</v>
      </c>
      <c r="BQ201" s="14" t="s">
        <v>47</v>
      </c>
      <c r="BR201" s="14" t="str">
        <f t="shared" si="60"/>
        <v>Naňo Martin</v>
      </c>
      <c r="BS201" s="14">
        <v>2002</v>
      </c>
      <c r="BT201" s="14" t="s">
        <v>42</v>
      </c>
      <c r="BU201" s="1">
        <v>43</v>
      </c>
    </row>
    <row r="202" spans="1:73" ht="15.75">
      <c r="A202" s="181">
        <f>A201+1</f>
        <v>57</v>
      </c>
      <c r="B202" s="152">
        <f t="shared" si="45"/>
        <v>0</v>
      </c>
      <c r="C202" s="81">
        <f t="shared" si="55"/>
        <v>0</v>
      </c>
      <c r="D202" s="163"/>
      <c r="E202" s="109"/>
      <c r="F202" s="164"/>
      <c r="G202" s="86"/>
      <c r="H202" s="110"/>
      <c r="I202" s="157"/>
      <c r="J202" s="112"/>
      <c r="K202" s="182"/>
      <c r="L202" s="114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78"/>
      <c r="AH202" s="178"/>
      <c r="AI202" s="178"/>
      <c r="AJ202" s="179"/>
      <c r="AK202" s="179"/>
      <c r="AL202" s="180"/>
      <c r="AM202" s="182"/>
      <c r="AN202" s="113">
        <f t="shared" si="56"/>
        <v>0</v>
      </c>
      <c r="AO202" s="28">
        <f t="shared" si="54"/>
        <v>0</v>
      </c>
      <c r="AP202" s="28"/>
      <c r="AQ202" s="28">
        <f t="shared" si="57"/>
        <v>0</v>
      </c>
      <c r="AR202" s="215">
        <f t="shared" si="58"/>
        <v>0</v>
      </c>
      <c r="AS202" s="215">
        <f t="shared" si="50"/>
        <v>1900</v>
      </c>
      <c r="AT202" s="215">
        <f t="shared" si="51"/>
        <v>0</v>
      </c>
      <c r="AU202">
        <f t="shared" si="59"/>
        <v>57</v>
      </c>
      <c r="AW202" s="77">
        <f t="shared" si="52"/>
        <v>0</v>
      </c>
      <c r="BQ202" s="14" t="s">
        <v>301</v>
      </c>
      <c r="BR202" s="14" t="str">
        <f t="shared" si="60"/>
        <v>Šarmír Samuel</v>
      </c>
      <c r="BS202" s="14">
        <v>2001</v>
      </c>
      <c r="BT202" s="14" t="s">
        <v>55</v>
      </c>
      <c r="BU202" s="1">
        <v>43</v>
      </c>
    </row>
    <row r="203" spans="1:73" ht="15.75">
      <c r="A203" s="181">
        <f>A202+1</f>
        <v>58</v>
      </c>
      <c r="B203" s="152">
        <f t="shared" si="45"/>
        <v>0</v>
      </c>
      <c r="C203" s="81">
        <f t="shared" si="55"/>
        <v>0</v>
      </c>
      <c r="D203" s="163"/>
      <c r="E203" s="109"/>
      <c r="F203" s="164"/>
      <c r="G203" s="86"/>
      <c r="H203" s="110"/>
      <c r="I203" s="157"/>
      <c r="J203" s="112"/>
      <c r="K203" s="113"/>
      <c r="L203" s="114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78"/>
      <c r="AC203" s="178"/>
      <c r="AD203" s="115"/>
      <c r="AE203" s="115"/>
      <c r="AF203" s="115"/>
      <c r="AG203" s="115"/>
      <c r="AH203" s="115"/>
      <c r="AI203" s="115"/>
      <c r="AJ203" s="116"/>
      <c r="AK203" s="116"/>
      <c r="AL203" s="117"/>
      <c r="AM203" s="113"/>
      <c r="AN203" s="113">
        <f t="shared" si="56"/>
        <v>0</v>
      </c>
      <c r="AO203" s="28">
        <f t="shared" si="54"/>
        <v>0</v>
      </c>
      <c r="AP203" s="28"/>
      <c r="AQ203" s="28">
        <f t="shared" si="57"/>
        <v>0</v>
      </c>
      <c r="AR203" s="215">
        <f t="shared" si="58"/>
        <v>0</v>
      </c>
      <c r="AS203" s="215">
        <f t="shared" si="50"/>
        <v>1900</v>
      </c>
      <c r="AT203" s="215">
        <f t="shared" si="51"/>
        <v>0</v>
      </c>
      <c r="AU203">
        <f t="shared" si="59"/>
        <v>58</v>
      </c>
      <c r="AW203" s="77">
        <f t="shared" si="52"/>
        <v>0</v>
      </c>
      <c r="BQ203" s="14" t="s">
        <v>302</v>
      </c>
      <c r="BR203" s="14" t="str">
        <f t="shared" si="60"/>
        <v>Šteberla Matúš</v>
      </c>
      <c r="BS203" s="14">
        <v>2001</v>
      </c>
      <c r="BT203" s="14" t="s">
        <v>42</v>
      </c>
      <c r="BU203" s="1">
        <v>43</v>
      </c>
    </row>
    <row r="204" spans="1:73" ht="16.5" thickBot="1">
      <c r="A204" s="183">
        <f>A203+1</f>
        <v>59</v>
      </c>
      <c r="B204" s="165">
        <f t="shared" si="45"/>
        <v>0</v>
      </c>
      <c r="C204" s="120">
        <f t="shared" si="55"/>
        <v>0</v>
      </c>
      <c r="D204" s="122"/>
      <c r="E204" s="166"/>
      <c r="F204" s="184"/>
      <c r="G204" s="125"/>
      <c r="H204" s="121"/>
      <c r="I204" s="185"/>
      <c r="J204" s="127"/>
      <c r="K204" s="128"/>
      <c r="L204" s="129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2"/>
      <c r="AK204" s="132"/>
      <c r="AL204" s="133"/>
      <c r="AM204" s="128"/>
      <c r="AN204" s="128">
        <f t="shared" si="56"/>
        <v>0</v>
      </c>
      <c r="AO204" s="28">
        <f t="shared" si="54"/>
        <v>0</v>
      </c>
      <c r="AP204" s="28"/>
      <c r="AQ204" s="28">
        <f t="shared" si="57"/>
        <v>0</v>
      </c>
      <c r="AR204" s="215">
        <f t="shared" si="58"/>
        <v>0</v>
      </c>
      <c r="AS204" s="215">
        <f t="shared" si="50"/>
        <v>1900</v>
      </c>
      <c r="AT204" s="215">
        <f t="shared" si="51"/>
        <v>0</v>
      </c>
      <c r="AU204">
        <f t="shared" si="59"/>
        <v>59</v>
      </c>
      <c r="AW204" s="77">
        <f t="shared" si="52"/>
        <v>0</v>
      </c>
      <c r="BQ204" s="14" t="s">
        <v>303</v>
      </c>
      <c r="BR204" s="14" t="str">
        <f t="shared" si="60"/>
        <v>Švábek Dávid</v>
      </c>
      <c r="BS204" s="14">
        <v>2001</v>
      </c>
      <c r="BT204" s="14" t="s">
        <v>42</v>
      </c>
      <c r="BU204" s="1">
        <v>43</v>
      </c>
    </row>
    <row r="205" spans="41:73" ht="6" customHeight="1">
      <c r="AO205" s="28">
        <f aca="true" t="shared" si="61" ref="AO205:AO210">SUM(L205:AL205)</f>
        <v>0</v>
      </c>
      <c r="AP205" s="28"/>
      <c r="AQ205" s="28">
        <f>C205</f>
        <v>0</v>
      </c>
      <c r="AR205" s="215">
        <f t="shared" si="58"/>
        <v>0</v>
      </c>
      <c r="AS205" s="215">
        <f t="shared" si="50"/>
        <v>1900</v>
      </c>
      <c r="AT205" s="215">
        <f t="shared" si="51"/>
        <v>0</v>
      </c>
      <c r="AU205">
        <f t="shared" si="59"/>
        <v>0</v>
      </c>
      <c r="AW205" s="77">
        <f t="shared" si="52"/>
        <v>0</v>
      </c>
      <c r="BQ205" s="14" t="s">
        <v>304</v>
      </c>
      <c r="BR205" s="14" t="str">
        <f t="shared" si="60"/>
        <v>Untermayerová Laura</v>
      </c>
      <c r="BS205" s="14">
        <v>2002</v>
      </c>
      <c r="BT205" s="14" t="s">
        <v>55</v>
      </c>
      <c r="BU205" s="1">
        <v>43</v>
      </c>
    </row>
    <row r="206" spans="41:73" ht="16.5" thickBot="1">
      <c r="AO206" s="28">
        <f t="shared" si="61"/>
        <v>0</v>
      </c>
      <c r="AP206" s="28"/>
      <c r="AQ206" s="28">
        <f>C206</f>
        <v>0</v>
      </c>
      <c r="AR206" s="215">
        <f t="shared" si="58"/>
        <v>0</v>
      </c>
      <c r="AS206" s="215">
        <f t="shared" si="50"/>
        <v>1900</v>
      </c>
      <c r="AT206" s="215">
        <f t="shared" si="51"/>
        <v>0</v>
      </c>
      <c r="AU206">
        <f t="shared" si="59"/>
        <v>0</v>
      </c>
      <c r="AW206" s="77">
        <f t="shared" si="52"/>
        <v>0</v>
      </c>
      <c r="BQ206" s="14" t="s">
        <v>305</v>
      </c>
      <c r="BR206" s="14" t="str">
        <f t="shared" si="60"/>
        <v>Zápražný Samuel</v>
      </c>
      <c r="BS206" s="14">
        <v>2002</v>
      </c>
      <c r="BT206" s="14" t="s">
        <v>54</v>
      </c>
      <c r="BU206" s="1">
        <v>43</v>
      </c>
    </row>
    <row r="207" spans="1:73" ht="18.75" thickBot="1">
      <c r="A207" s="15" t="s">
        <v>182</v>
      </c>
      <c r="B207" s="16"/>
      <c r="C207" s="17"/>
      <c r="D207" s="18"/>
      <c r="E207" s="19"/>
      <c r="F207" s="18"/>
      <c r="G207" s="21"/>
      <c r="H207" s="170"/>
      <c r="I207" s="23"/>
      <c r="J207" s="171"/>
      <c r="AO207" s="28">
        <f t="shared" si="61"/>
        <v>0</v>
      </c>
      <c r="AP207" s="28"/>
      <c r="AQ207" s="28">
        <f>C207</f>
        <v>0</v>
      </c>
      <c r="AR207" s="215">
        <f t="shared" si="58"/>
        <v>0</v>
      </c>
      <c r="AS207" s="215">
        <f t="shared" si="50"/>
        <v>1900</v>
      </c>
      <c r="AT207" s="215">
        <f t="shared" si="51"/>
        <v>0</v>
      </c>
      <c r="AU207" t="str">
        <f t="shared" si="59"/>
        <v>Staršie žiačky</v>
      </c>
      <c r="AW207" s="77">
        <f t="shared" si="52"/>
        <v>0</v>
      </c>
      <c r="BQ207" s="14" t="s">
        <v>245</v>
      </c>
      <c r="BR207" s="14">
        <f t="shared" si="60"/>
      </c>
      <c r="BS207" s="14">
        <v>1900</v>
      </c>
      <c r="BT207" s="14">
        <v>0</v>
      </c>
      <c r="BU207" s="1">
        <v>43</v>
      </c>
    </row>
    <row r="208" spans="1:73" ht="18.75" thickBot="1">
      <c r="A208" s="29"/>
      <c r="B208" s="27"/>
      <c r="C208" s="30"/>
      <c r="D208" s="26"/>
      <c r="E208" s="31"/>
      <c r="F208" s="32"/>
      <c r="G208" s="33" t="s">
        <v>166</v>
      </c>
      <c r="H208" s="34"/>
      <c r="I208" s="35"/>
      <c r="J208" s="36"/>
      <c r="K208" s="34"/>
      <c r="L208" s="245" t="s">
        <v>167</v>
      </c>
      <c r="M208" s="233"/>
      <c r="N208" s="233"/>
      <c r="O208" s="233"/>
      <c r="P208" s="233"/>
      <c r="Q208" s="233"/>
      <c r="R208" s="234"/>
      <c r="S208" s="234"/>
      <c r="T208" s="234"/>
      <c r="U208" s="234"/>
      <c r="V208" s="234"/>
      <c r="W208" s="234"/>
      <c r="X208" s="234"/>
      <c r="Y208" s="234"/>
      <c r="Z208" s="234"/>
      <c r="AA208" s="234"/>
      <c r="AB208" s="234"/>
      <c r="AC208" s="234"/>
      <c r="AD208" s="234"/>
      <c r="AE208" s="234"/>
      <c r="AF208" s="234"/>
      <c r="AG208" s="234"/>
      <c r="AH208" s="234"/>
      <c r="AI208" s="234"/>
      <c r="AJ208" s="234"/>
      <c r="AK208" s="234"/>
      <c r="AL208" s="234"/>
      <c r="AM208" s="235"/>
      <c r="AN208" s="14"/>
      <c r="AO208" s="28">
        <f t="shared" si="61"/>
        <v>0</v>
      </c>
      <c r="AP208" s="28"/>
      <c r="AQ208" s="28">
        <f>C208</f>
        <v>0</v>
      </c>
      <c r="AR208" s="215">
        <f t="shared" si="58"/>
        <v>0</v>
      </c>
      <c r="AS208" s="215">
        <f t="shared" si="50"/>
        <v>1900</v>
      </c>
      <c r="AT208" s="215">
        <f t="shared" si="51"/>
        <v>0</v>
      </c>
      <c r="AU208">
        <f t="shared" si="59"/>
        <v>0</v>
      </c>
      <c r="AW208" s="77">
        <f t="shared" si="52"/>
        <v>0</v>
      </c>
      <c r="BQ208" s="14" t="s">
        <v>245</v>
      </c>
      <c r="BR208" s="14">
        <f t="shared" si="60"/>
      </c>
      <c r="BS208" s="14">
        <v>1900</v>
      </c>
      <c r="BT208" s="14">
        <v>0</v>
      </c>
      <c r="BU208" s="1">
        <v>43</v>
      </c>
    </row>
    <row r="209" spans="1:72" ht="15.75" thickBot="1">
      <c r="A209" s="38"/>
      <c r="B209" s="236" t="s">
        <v>168</v>
      </c>
      <c r="C209" s="237"/>
      <c r="D209" s="39"/>
      <c r="E209" s="40"/>
      <c r="F209" s="32"/>
      <c r="G209" s="41" t="s">
        <v>169</v>
      </c>
      <c r="H209" s="238" t="s">
        <v>170</v>
      </c>
      <c r="I209" s="239"/>
      <c r="J209" s="240"/>
      <c r="K209" s="42"/>
      <c r="L209" s="246" t="s">
        <v>171</v>
      </c>
      <c r="M209" s="242"/>
      <c r="N209" s="242"/>
      <c r="O209" s="242"/>
      <c r="P209" s="242"/>
      <c r="Q209" s="242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  <c r="AJ209" s="243"/>
      <c r="AK209" s="243"/>
      <c r="AL209" s="243"/>
      <c r="AM209" s="244"/>
      <c r="AN209" s="146" t="s">
        <v>172</v>
      </c>
      <c r="AO209" s="28">
        <f t="shared" si="61"/>
        <v>0</v>
      </c>
      <c r="AP209" s="28"/>
      <c r="AQ209" s="28">
        <f>C209</f>
        <v>0</v>
      </c>
      <c r="AR209" s="215">
        <f t="shared" si="58"/>
        <v>0</v>
      </c>
      <c r="AS209" s="215">
        <f t="shared" si="50"/>
        <v>1900</v>
      </c>
      <c r="AT209" s="215">
        <f t="shared" si="51"/>
        <v>0</v>
      </c>
      <c r="AU209">
        <f t="shared" si="59"/>
        <v>0</v>
      </c>
      <c r="AW209" s="77">
        <f t="shared" si="52"/>
        <v>0</v>
      </c>
      <c r="BQ209" s="14" t="s">
        <v>245</v>
      </c>
      <c r="BR209" s="14">
        <f t="shared" si="60"/>
      </c>
      <c r="BS209" s="14">
        <v>1900</v>
      </c>
      <c r="BT209" s="14">
        <v>0</v>
      </c>
    </row>
    <row r="210" spans="1:72" ht="16.5" thickBot="1">
      <c r="A210" s="147" t="s">
        <v>173</v>
      </c>
      <c r="B210" s="46" t="s">
        <v>174</v>
      </c>
      <c r="C210" s="47" t="s">
        <v>30</v>
      </c>
      <c r="D210" s="48" t="s">
        <v>183</v>
      </c>
      <c r="E210" s="148" t="s">
        <v>175</v>
      </c>
      <c r="F210" s="149"/>
      <c r="G210" s="51"/>
      <c r="H210" s="186" t="s">
        <v>176</v>
      </c>
      <c r="I210" s="187" t="s">
        <v>177</v>
      </c>
      <c r="J210" s="188" t="s">
        <v>178</v>
      </c>
      <c r="K210" s="55" t="s">
        <v>179</v>
      </c>
      <c r="L210" s="189">
        <v>1</v>
      </c>
      <c r="M210" s="190">
        <f>L210+1</f>
        <v>2</v>
      </c>
      <c r="N210" s="190">
        <f aca="true" t="shared" si="62" ref="N210:AL210">M210+1</f>
        <v>3</v>
      </c>
      <c r="O210" s="190">
        <f t="shared" si="62"/>
        <v>4</v>
      </c>
      <c r="P210" s="190">
        <f t="shared" si="62"/>
        <v>5</v>
      </c>
      <c r="Q210" s="190">
        <f t="shared" si="62"/>
        <v>6</v>
      </c>
      <c r="R210" s="190">
        <f t="shared" si="62"/>
        <v>7</v>
      </c>
      <c r="S210" s="190">
        <f t="shared" si="62"/>
        <v>8</v>
      </c>
      <c r="T210" s="190">
        <f t="shared" si="62"/>
        <v>9</v>
      </c>
      <c r="U210" s="190">
        <f t="shared" si="62"/>
        <v>10</v>
      </c>
      <c r="V210" s="190">
        <f t="shared" si="62"/>
        <v>11</v>
      </c>
      <c r="W210" s="190">
        <f t="shared" si="62"/>
        <v>12</v>
      </c>
      <c r="X210" s="190">
        <f t="shared" si="62"/>
        <v>13</v>
      </c>
      <c r="Y210" s="190">
        <f t="shared" si="62"/>
        <v>14</v>
      </c>
      <c r="Z210" s="190">
        <f t="shared" si="62"/>
        <v>15</v>
      </c>
      <c r="AA210" s="190">
        <f t="shared" si="62"/>
        <v>16</v>
      </c>
      <c r="AB210" s="190">
        <f t="shared" si="62"/>
        <v>17</v>
      </c>
      <c r="AC210" s="190">
        <f t="shared" si="62"/>
        <v>18</v>
      </c>
      <c r="AD210" s="190">
        <f t="shared" si="62"/>
        <v>19</v>
      </c>
      <c r="AE210" s="190">
        <f t="shared" si="62"/>
        <v>20</v>
      </c>
      <c r="AF210" s="190">
        <f t="shared" si="62"/>
        <v>21</v>
      </c>
      <c r="AG210" s="190">
        <f t="shared" si="62"/>
        <v>22</v>
      </c>
      <c r="AH210" s="190">
        <f t="shared" si="62"/>
        <v>23</v>
      </c>
      <c r="AI210" s="190">
        <f t="shared" si="62"/>
        <v>24</v>
      </c>
      <c r="AJ210" s="190">
        <f t="shared" si="62"/>
        <v>25</v>
      </c>
      <c r="AK210" s="190">
        <f t="shared" si="62"/>
        <v>26</v>
      </c>
      <c r="AL210" s="190">
        <f t="shared" si="62"/>
        <v>27</v>
      </c>
      <c r="AM210" s="191" t="s">
        <v>179</v>
      </c>
      <c r="AN210" s="192" t="s">
        <v>180</v>
      </c>
      <c r="AO210" s="28">
        <f t="shared" si="61"/>
        <v>378</v>
      </c>
      <c r="AP210" s="28"/>
      <c r="AQ210" s="28" t="str">
        <f>C210</f>
        <v>jednotlivci</v>
      </c>
      <c r="AR210" s="215" t="str">
        <f t="shared" si="58"/>
        <v>Priezvisko, meno</v>
      </c>
      <c r="AS210" s="215" t="e">
        <f t="shared" si="50"/>
        <v>#VALUE!</v>
      </c>
      <c r="AT210" s="215">
        <f t="shared" si="51"/>
        <v>0</v>
      </c>
      <c r="AU210" t="str">
        <f t="shared" si="59"/>
        <v>por</v>
      </c>
      <c r="AW210" s="77" t="str">
        <f t="shared" si="52"/>
        <v>nar.</v>
      </c>
      <c r="BQ210" s="14" t="s">
        <v>245</v>
      </c>
      <c r="BR210" s="14">
        <f t="shared" si="60"/>
      </c>
      <c r="BS210" s="14">
        <v>1900</v>
      </c>
      <c r="BT210" s="14">
        <v>0</v>
      </c>
    </row>
    <row r="211" spans="1:72" ht="15.75">
      <c r="A211" s="61">
        <v>1</v>
      </c>
      <c r="B211" s="62">
        <f aca="true" t="shared" si="63" ref="B211:B236">AN211</f>
        <v>531</v>
      </c>
      <c r="C211" s="63">
        <f aca="true" t="shared" si="64" ref="C211:C224">H211+I211+J211+AM211+AO211*$AO$1</f>
        <v>531</v>
      </c>
      <c r="D211" s="65" t="s">
        <v>109</v>
      </c>
      <c r="E211" s="151">
        <v>35746</v>
      </c>
      <c r="F211" s="67" t="s">
        <v>87</v>
      </c>
      <c r="G211" s="68">
        <v>50</v>
      </c>
      <c r="H211" s="64">
        <v>50</v>
      </c>
      <c r="I211" s="69">
        <f>100+80+65+50+65+80+41</f>
        <v>481</v>
      </c>
      <c r="J211" s="70"/>
      <c r="K211" s="71"/>
      <c r="L211" s="72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4"/>
      <c r="AK211" s="74"/>
      <c r="AL211" s="75"/>
      <c r="AM211" s="193"/>
      <c r="AN211" s="76">
        <f aca="true" t="shared" si="65" ref="AN211:AN224">SUM(H211:AM211)</f>
        <v>531</v>
      </c>
      <c r="AO211" s="28">
        <f aca="true" t="shared" si="66" ref="AO211:AO224">SUM(L211:AL211)</f>
        <v>0</v>
      </c>
      <c r="AQ211" s="28">
        <f aca="true" t="shared" si="67" ref="AQ211:AQ224">C211</f>
        <v>531</v>
      </c>
      <c r="AR211" s="215" t="str">
        <f t="shared" si="58"/>
        <v>Klúčiková Martina</v>
      </c>
      <c r="AS211" s="215">
        <f t="shared" si="50"/>
        <v>1997</v>
      </c>
      <c r="AT211" s="215" t="str">
        <f t="shared" si="51"/>
        <v>Kupeckého</v>
      </c>
      <c r="AU211">
        <f t="shared" si="59"/>
        <v>1</v>
      </c>
      <c r="AW211" s="77">
        <f t="shared" si="52"/>
        <v>35746</v>
      </c>
      <c r="BQ211" s="14" t="s">
        <v>245</v>
      </c>
      <c r="BR211" s="14">
        <f t="shared" si="60"/>
      </c>
      <c r="BS211" s="14">
        <v>1900</v>
      </c>
      <c r="BT211" s="14">
        <v>0</v>
      </c>
    </row>
    <row r="212" spans="1:72" ht="15.75">
      <c r="A212" s="79">
        <f>A211+1</f>
        <v>2</v>
      </c>
      <c r="B212" s="80">
        <f t="shared" si="63"/>
        <v>336</v>
      </c>
      <c r="C212" s="81">
        <f t="shared" si="64"/>
        <v>336</v>
      </c>
      <c r="D212" s="99" t="s">
        <v>141</v>
      </c>
      <c r="E212" s="109">
        <v>34287</v>
      </c>
      <c r="F212" s="164" t="s">
        <v>126</v>
      </c>
      <c r="G212" s="86">
        <v>80</v>
      </c>
      <c r="H212" s="82"/>
      <c r="I212" s="87">
        <f>80+100+50+65+41</f>
        <v>336</v>
      </c>
      <c r="J212" s="88"/>
      <c r="K212" s="89"/>
      <c r="L212" s="90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3"/>
      <c r="AK212" s="93"/>
      <c r="AL212" s="94"/>
      <c r="AM212" s="194"/>
      <c r="AN212" s="95">
        <f t="shared" si="65"/>
        <v>336</v>
      </c>
      <c r="AO212" s="28">
        <f t="shared" si="66"/>
        <v>0</v>
      </c>
      <c r="AP212" s="28"/>
      <c r="AQ212" s="28">
        <f t="shared" si="67"/>
        <v>336</v>
      </c>
      <c r="AR212" s="215" t="str">
        <f t="shared" si="58"/>
        <v>Janečková Alexandra</v>
      </c>
      <c r="AS212" s="215">
        <f t="shared" si="50"/>
        <v>1993</v>
      </c>
      <c r="AT212" s="215" t="str">
        <f t="shared" si="51"/>
        <v>Gymnázium</v>
      </c>
      <c r="AU212">
        <f t="shared" si="59"/>
        <v>2</v>
      </c>
      <c r="AW212" s="77">
        <f t="shared" si="52"/>
        <v>34287</v>
      </c>
      <c r="BQ212" s="14" t="s">
        <v>245</v>
      </c>
      <c r="BR212" s="14">
        <f t="shared" si="60"/>
      </c>
      <c r="BS212" s="14">
        <v>1900</v>
      </c>
      <c r="BT212" s="14">
        <v>0</v>
      </c>
    </row>
    <row r="213" spans="1:72" ht="15.75">
      <c r="A213" s="79">
        <f>A212+1</f>
        <v>3</v>
      </c>
      <c r="B213" s="152">
        <f t="shared" si="63"/>
        <v>265</v>
      </c>
      <c r="C213" s="81">
        <f t="shared" si="64"/>
        <v>265</v>
      </c>
      <c r="D213" s="83" t="s">
        <v>134</v>
      </c>
      <c r="E213" s="109">
        <v>35611</v>
      </c>
      <c r="F213" s="164" t="s">
        <v>126</v>
      </c>
      <c r="G213" s="86">
        <v>100</v>
      </c>
      <c r="H213" s="82">
        <v>100</v>
      </c>
      <c r="I213" s="87">
        <f>65+50+50</f>
        <v>165</v>
      </c>
      <c r="J213" s="88"/>
      <c r="K213" s="89"/>
      <c r="L213" s="90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3"/>
      <c r="AK213" s="93"/>
      <c r="AL213" s="94"/>
      <c r="AM213" s="194"/>
      <c r="AN213" s="95">
        <f t="shared" si="65"/>
        <v>265</v>
      </c>
      <c r="AO213" s="28">
        <f t="shared" si="66"/>
        <v>0</v>
      </c>
      <c r="AP213" s="28"/>
      <c r="AQ213" s="28">
        <f t="shared" si="67"/>
        <v>265</v>
      </c>
      <c r="AR213" s="215" t="str">
        <f t="shared" si="58"/>
        <v>Belková Petra</v>
      </c>
      <c r="AS213" s="215">
        <f t="shared" si="50"/>
        <v>1997</v>
      </c>
      <c r="AT213" s="215" t="str">
        <f t="shared" si="51"/>
        <v>Gymnázium</v>
      </c>
      <c r="AU213">
        <f t="shared" si="59"/>
        <v>3</v>
      </c>
      <c r="AW213" s="77">
        <f t="shared" si="52"/>
        <v>35611</v>
      </c>
      <c r="BQ213" s="14" t="s">
        <v>245</v>
      </c>
      <c r="BR213" s="14">
        <f t="shared" si="60"/>
      </c>
      <c r="BS213" s="14">
        <v>1900</v>
      </c>
      <c r="BT213" s="14">
        <v>0</v>
      </c>
    </row>
    <row r="214" spans="1:72" ht="15.75">
      <c r="A214" s="79">
        <f>A213+1</f>
        <v>4</v>
      </c>
      <c r="B214" s="152">
        <f t="shared" si="63"/>
        <v>180</v>
      </c>
      <c r="C214" s="81">
        <f t="shared" si="64"/>
        <v>180</v>
      </c>
      <c r="D214" s="83" t="s">
        <v>140</v>
      </c>
      <c r="E214" s="109">
        <v>34265</v>
      </c>
      <c r="F214" s="164" t="s">
        <v>126</v>
      </c>
      <c r="G214" s="86">
        <v>65</v>
      </c>
      <c r="H214" s="82"/>
      <c r="I214" s="87">
        <f>65+65+50</f>
        <v>180</v>
      </c>
      <c r="J214" s="88"/>
      <c r="K214" s="89"/>
      <c r="L214" s="90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3"/>
      <c r="AK214" s="93"/>
      <c r="AL214" s="94"/>
      <c r="AM214" s="194"/>
      <c r="AN214" s="95">
        <f t="shared" si="65"/>
        <v>180</v>
      </c>
      <c r="AO214" s="28">
        <f t="shared" si="66"/>
        <v>0</v>
      </c>
      <c r="AP214" s="37"/>
      <c r="AQ214" s="28">
        <f t="shared" si="67"/>
        <v>180</v>
      </c>
      <c r="AR214" s="215" t="str">
        <f t="shared" si="58"/>
        <v>Mikolášková Martina</v>
      </c>
      <c r="AS214" s="215">
        <f aca="true" t="shared" si="68" ref="AS214:AS278">YEAR(AW214)</f>
        <v>1993</v>
      </c>
      <c r="AT214" s="215" t="str">
        <f aca="true" t="shared" si="69" ref="AT214:AT278">F214</f>
        <v>Gymnázium</v>
      </c>
      <c r="AU214">
        <f t="shared" si="59"/>
        <v>4</v>
      </c>
      <c r="AW214" s="77">
        <f aca="true" t="shared" si="70" ref="AW214:AW278">E214</f>
        <v>34265</v>
      </c>
      <c r="BQ214" s="14" t="s">
        <v>246</v>
      </c>
      <c r="BR214" s="14" t="str">
        <f t="shared" si="60"/>
        <v>Priezvisko Meno</v>
      </c>
      <c r="BS214" s="14" t="e">
        <v>#VALUE!</v>
      </c>
      <c r="BT214" s="14">
        <v>0</v>
      </c>
    </row>
    <row r="215" spans="1:73" ht="15.75">
      <c r="A215" s="79">
        <f>A214+1</f>
        <v>5</v>
      </c>
      <c r="B215" s="152">
        <f t="shared" si="63"/>
        <v>165</v>
      </c>
      <c r="C215" s="81">
        <f t="shared" si="64"/>
        <v>165</v>
      </c>
      <c r="D215" s="83" t="s">
        <v>76</v>
      </c>
      <c r="E215" s="109">
        <v>35333</v>
      </c>
      <c r="F215" s="164" t="s">
        <v>55</v>
      </c>
      <c r="G215" s="86">
        <v>50</v>
      </c>
      <c r="H215" s="82">
        <v>50</v>
      </c>
      <c r="I215" s="87">
        <f>50+65</f>
        <v>115</v>
      </c>
      <c r="J215" s="88"/>
      <c r="K215" s="89"/>
      <c r="L215" s="90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3"/>
      <c r="AK215" s="93"/>
      <c r="AL215" s="94"/>
      <c r="AM215" s="194"/>
      <c r="AN215" s="95">
        <f t="shared" si="65"/>
        <v>165</v>
      </c>
      <c r="AO215" s="28">
        <f t="shared" si="66"/>
        <v>0</v>
      </c>
      <c r="AQ215" s="28">
        <f t="shared" si="67"/>
        <v>165</v>
      </c>
      <c r="AR215" s="215" t="str">
        <f t="shared" si="58"/>
        <v>Vašeková Jana</v>
      </c>
      <c r="AS215" s="215">
        <f t="shared" si="68"/>
        <v>1996</v>
      </c>
      <c r="AT215" s="215" t="str">
        <f t="shared" si="69"/>
        <v>Fándlyho</v>
      </c>
      <c r="AU215">
        <f t="shared" si="59"/>
        <v>5</v>
      </c>
      <c r="AW215" s="77">
        <f t="shared" si="70"/>
        <v>35333</v>
      </c>
      <c r="BQ215" s="14" t="s">
        <v>306</v>
      </c>
      <c r="BR215" s="14" t="str">
        <f t="shared" si="60"/>
        <v>Krupanová Adriana</v>
      </c>
      <c r="BS215" s="14">
        <v>1994</v>
      </c>
      <c r="BT215" s="14" t="s">
        <v>87</v>
      </c>
      <c r="BU215" s="1">
        <v>1</v>
      </c>
    </row>
    <row r="216" spans="1:73" ht="15.75">
      <c r="A216" s="79">
        <f>A215+1</f>
        <v>6</v>
      </c>
      <c r="B216" s="152">
        <f t="shared" si="63"/>
        <v>150</v>
      </c>
      <c r="C216" s="81">
        <f t="shared" si="64"/>
        <v>150</v>
      </c>
      <c r="D216" s="83" t="s">
        <v>41</v>
      </c>
      <c r="E216" s="109">
        <v>35752</v>
      </c>
      <c r="F216" s="164" t="s">
        <v>0</v>
      </c>
      <c r="G216" s="86">
        <v>50</v>
      </c>
      <c r="H216" s="82">
        <v>50</v>
      </c>
      <c r="I216" s="87">
        <v>100</v>
      </c>
      <c r="J216" s="112"/>
      <c r="K216" s="89"/>
      <c r="L216" s="90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3"/>
      <c r="AK216" s="93"/>
      <c r="AL216" s="94"/>
      <c r="AM216" s="194"/>
      <c r="AN216" s="95">
        <f t="shared" si="65"/>
        <v>150</v>
      </c>
      <c r="AO216" s="28">
        <f t="shared" si="66"/>
        <v>0</v>
      </c>
      <c r="AP216" s="37"/>
      <c r="AQ216" s="28">
        <f t="shared" si="67"/>
        <v>150</v>
      </c>
      <c r="AR216" s="215" t="str">
        <f t="shared" si="58"/>
        <v>Komadová Radka</v>
      </c>
      <c r="AS216" s="215">
        <f t="shared" si="68"/>
        <v>1997</v>
      </c>
      <c r="AT216" s="215" t="str">
        <f t="shared" si="69"/>
        <v>Bielenisko</v>
      </c>
      <c r="AU216">
        <f t="shared" si="59"/>
        <v>6</v>
      </c>
      <c r="AW216" s="77">
        <f t="shared" si="70"/>
        <v>35752</v>
      </c>
      <c r="BQ216" s="14" t="s">
        <v>109</v>
      </c>
      <c r="BR216" s="14" t="str">
        <f t="shared" si="60"/>
        <v>Klúčiková Martina</v>
      </c>
      <c r="BS216" s="14">
        <v>1997</v>
      </c>
      <c r="BT216" s="14" t="s">
        <v>0</v>
      </c>
      <c r="BU216" s="1">
        <v>2</v>
      </c>
    </row>
    <row r="217" spans="1:73" ht="15.75">
      <c r="A217" s="79">
        <f aca="true" t="shared" si="71" ref="A217:A236">A216+1</f>
        <v>7</v>
      </c>
      <c r="B217" s="152">
        <f t="shared" si="63"/>
        <v>106</v>
      </c>
      <c r="C217" s="81">
        <f t="shared" si="64"/>
        <v>106</v>
      </c>
      <c r="D217" s="83" t="s">
        <v>346</v>
      </c>
      <c r="E217" s="109">
        <v>34230</v>
      </c>
      <c r="F217" s="164" t="s">
        <v>126</v>
      </c>
      <c r="G217" s="86">
        <v>65</v>
      </c>
      <c r="H217" s="82">
        <v>65</v>
      </c>
      <c r="I217" s="87">
        <v>41</v>
      </c>
      <c r="J217" s="112"/>
      <c r="K217" s="89"/>
      <c r="L217" s="90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3"/>
      <c r="AK217" s="93"/>
      <c r="AL217" s="94"/>
      <c r="AM217" s="194"/>
      <c r="AN217" s="95">
        <f t="shared" si="65"/>
        <v>106</v>
      </c>
      <c r="AO217" s="28">
        <f t="shared" si="66"/>
        <v>0</v>
      </c>
      <c r="AP217" s="28"/>
      <c r="AQ217" s="28">
        <f t="shared" si="67"/>
        <v>106</v>
      </c>
      <c r="AR217" s="215" t="str">
        <f t="shared" si="58"/>
        <v>Krpelánová Martina</v>
      </c>
      <c r="AS217" s="215">
        <f t="shared" si="68"/>
        <v>1993</v>
      </c>
      <c r="AT217" s="215" t="str">
        <f t="shared" si="69"/>
        <v>Gymnázium</v>
      </c>
      <c r="AU217">
        <f t="shared" si="59"/>
        <v>7</v>
      </c>
      <c r="AW217" s="77">
        <f t="shared" si="70"/>
        <v>34230</v>
      </c>
      <c r="BQ217" s="14" t="s">
        <v>140</v>
      </c>
      <c r="BR217" s="14" t="str">
        <f t="shared" si="60"/>
        <v>Mikolášková Martina</v>
      </c>
      <c r="BS217" s="14">
        <v>1993</v>
      </c>
      <c r="BT217" s="14" t="s">
        <v>126</v>
      </c>
      <c r="BU217" s="1">
        <v>3</v>
      </c>
    </row>
    <row r="218" spans="1:73" ht="15.75">
      <c r="A218" s="79">
        <f t="shared" si="71"/>
        <v>8</v>
      </c>
      <c r="B218" s="152">
        <f t="shared" si="63"/>
        <v>106</v>
      </c>
      <c r="C218" s="81">
        <f t="shared" si="64"/>
        <v>106</v>
      </c>
      <c r="D218" s="83" t="s">
        <v>78</v>
      </c>
      <c r="E218" s="109">
        <v>35023</v>
      </c>
      <c r="F218" s="164" t="s">
        <v>55</v>
      </c>
      <c r="G218" s="86">
        <v>41</v>
      </c>
      <c r="H218" s="82"/>
      <c r="I218" s="87">
        <f>41+65</f>
        <v>106</v>
      </c>
      <c r="J218" s="112"/>
      <c r="K218" s="89"/>
      <c r="L218" s="90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3"/>
      <c r="AK218" s="93"/>
      <c r="AL218" s="94"/>
      <c r="AM218" s="194"/>
      <c r="AN218" s="95">
        <f t="shared" si="65"/>
        <v>106</v>
      </c>
      <c r="AO218" s="28">
        <f t="shared" si="66"/>
        <v>0</v>
      </c>
      <c r="AP218" s="28"/>
      <c r="AQ218" s="28">
        <f t="shared" si="67"/>
        <v>106</v>
      </c>
      <c r="AR218" s="215" t="str">
        <f t="shared" si="58"/>
        <v>Toráčová Michaela</v>
      </c>
      <c r="AS218" s="215">
        <f t="shared" si="68"/>
        <v>1995</v>
      </c>
      <c r="AT218" s="215" t="str">
        <f t="shared" si="69"/>
        <v>Fándlyho</v>
      </c>
      <c r="AU218">
        <f t="shared" si="59"/>
        <v>8</v>
      </c>
      <c r="AW218" s="77">
        <f t="shared" si="70"/>
        <v>35023</v>
      </c>
      <c r="BQ218" s="14" t="s">
        <v>307</v>
      </c>
      <c r="BR218" s="14" t="str">
        <f t="shared" si="60"/>
        <v>Noskovičová Nikola</v>
      </c>
      <c r="BS218" s="14">
        <v>1992</v>
      </c>
      <c r="BT218" s="14" t="s">
        <v>126</v>
      </c>
      <c r="BU218" s="1">
        <v>4</v>
      </c>
    </row>
    <row r="219" spans="1:73" ht="15.75">
      <c r="A219" s="79">
        <f t="shared" si="71"/>
        <v>9</v>
      </c>
      <c r="B219" s="152">
        <f t="shared" si="63"/>
        <v>97</v>
      </c>
      <c r="C219" s="81">
        <f t="shared" si="64"/>
        <v>97</v>
      </c>
      <c r="D219" s="83" t="s">
        <v>347</v>
      </c>
      <c r="E219" s="109">
        <v>35155</v>
      </c>
      <c r="F219" s="164" t="s">
        <v>126</v>
      </c>
      <c r="G219" s="86">
        <v>65</v>
      </c>
      <c r="H219" s="82">
        <v>65</v>
      </c>
      <c r="I219" s="87">
        <v>32</v>
      </c>
      <c r="J219" s="112"/>
      <c r="K219" s="89"/>
      <c r="L219" s="90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3"/>
      <c r="AK219" s="93"/>
      <c r="AL219" s="94"/>
      <c r="AM219" s="194"/>
      <c r="AN219" s="95">
        <f t="shared" si="65"/>
        <v>97</v>
      </c>
      <c r="AO219" s="28">
        <f t="shared" si="66"/>
        <v>0</v>
      </c>
      <c r="AQ219" s="28">
        <f t="shared" si="67"/>
        <v>97</v>
      </c>
      <c r="AR219" s="215" t="str">
        <f t="shared" si="58"/>
        <v>Psotová Kristína</v>
      </c>
      <c r="AS219" s="215">
        <f t="shared" si="68"/>
        <v>1996</v>
      </c>
      <c r="AT219" s="215" t="str">
        <f t="shared" si="69"/>
        <v>Gymnázium</v>
      </c>
      <c r="AU219">
        <f t="shared" si="59"/>
        <v>9</v>
      </c>
      <c r="AW219" s="77">
        <f t="shared" si="70"/>
        <v>35155</v>
      </c>
      <c r="BQ219" s="14" t="s">
        <v>141</v>
      </c>
      <c r="BR219" s="14" t="str">
        <f t="shared" si="60"/>
        <v>Janečková Alexandra</v>
      </c>
      <c r="BS219" s="14">
        <v>1993</v>
      </c>
      <c r="BT219" s="14" t="s">
        <v>126</v>
      </c>
      <c r="BU219" s="1">
        <v>5</v>
      </c>
    </row>
    <row r="220" spans="1:73" ht="15.75">
      <c r="A220" s="79">
        <f t="shared" si="71"/>
        <v>10</v>
      </c>
      <c r="B220" s="152">
        <f t="shared" si="63"/>
        <v>91</v>
      </c>
      <c r="C220" s="81">
        <f t="shared" si="64"/>
        <v>91</v>
      </c>
      <c r="D220" s="83" t="s">
        <v>79</v>
      </c>
      <c r="E220" s="109">
        <v>35270</v>
      </c>
      <c r="F220" s="164" t="s">
        <v>55</v>
      </c>
      <c r="G220" s="86">
        <v>50</v>
      </c>
      <c r="H220" s="82">
        <v>50</v>
      </c>
      <c r="I220" s="87">
        <f>41+0</f>
        <v>41</v>
      </c>
      <c r="J220" s="112"/>
      <c r="K220" s="89"/>
      <c r="L220" s="90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3"/>
      <c r="AK220" s="93"/>
      <c r="AL220" s="94"/>
      <c r="AM220" s="194"/>
      <c r="AN220" s="95">
        <f t="shared" si="65"/>
        <v>91</v>
      </c>
      <c r="AO220" s="28">
        <f t="shared" si="66"/>
        <v>0</v>
      </c>
      <c r="AP220" s="14"/>
      <c r="AQ220" s="28">
        <f t="shared" si="67"/>
        <v>91</v>
      </c>
      <c r="AR220" s="215" t="str">
        <f t="shared" si="58"/>
        <v>Grolichová Kristína</v>
      </c>
      <c r="AS220" s="215">
        <f t="shared" si="68"/>
        <v>1996</v>
      </c>
      <c r="AT220" s="215" t="str">
        <f t="shared" si="69"/>
        <v>Fándlyho</v>
      </c>
      <c r="AU220">
        <f t="shared" si="59"/>
        <v>10</v>
      </c>
      <c r="AW220" s="77">
        <f t="shared" si="70"/>
        <v>35270</v>
      </c>
      <c r="BQ220" s="14" t="s">
        <v>308</v>
      </c>
      <c r="BR220" s="14" t="str">
        <f t="shared" si="60"/>
        <v>Nidelová Martina</v>
      </c>
      <c r="BS220" s="14">
        <v>1995</v>
      </c>
      <c r="BT220" s="14" t="s">
        <v>87</v>
      </c>
      <c r="BU220" s="1">
        <v>6</v>
      </c>
    </row>
    <row r="221" spans="1:73" ht="15.75">
      <c r="A221" s="79">
        <f t="shared" si="71"/>
        <v>11</v>
      </c>
      <c r="B221" s="152">
        <f t="shared" si="63"/>
        <v>80</v>
      </c>
      <c r="C221" s="81">
        <f t="shared" si="64"/>
        <v>80</v>
      </c>
      <c r="D221" s="83" t="s">
        <v>135</v>
      </c>
      <c r="E221" s="109">
        <v>35085</v>
      </c>
      <c r="F221" s="164" t="s">
        <v>126</v>
      </c>
      <c r="G221" s="86">
        <v>80</v>
      </c>
      <c r="H221" s="82">
        <v>80</v>
      </c>
      <c r="I221" s="87"/>
      <c r="J221" s="112"/>
      <c r="K221" s="89"/>
      <c r="L221" s="90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3"/>
      <c r="AK221" s="93"/>
      <c r="AL221" s="94"/>
      <c r="AM221" s="194"/>
      <c r="AN221" s="95">
        <f t="shared" si="65"/>
        <v>80</v>
      </c>
      <c r="AO221" s="28">
        <f t="shared" si="66"/>
        <v>0</v>
      </c>
      <c r="AP221" s="28"/>
      <c r="AQ221" s="28">
        <f t="shared" si="67"/>
        <v>80</v>
      </c>
      <c r="AR221" s="215" t="str">
        <f t="shared" si="58"/>
        <v>Finková Lucia</v>
      </c>
      <c r="AS221" s="215">
        <f t="shared" si="68"/>
        <v>1996</v>
      </c>
      <c r="AT221" s="215" t="str">
        <f t="shared" si="69"/>
        <v>Gymnázium</v>
      </c>
      <c r="AU221">
        <f t="shared" si="59"/>
        <v>11</v>
      </c>
      <c r="AW221" s="77">
        <f t="shared" si="70"/>
        <v>35085</v>
      </c>
      <c r="BQ221" s="14" t="s">
        <v>309</v>
      </c>
      <c r="BR221" s="14" t="str">
        <f t="shared" si="60"/>
        <v>Slimáková Michaela</v>
      </c>
      <c r="BS221" s="14">
        <v>1994</v>
      </c>
      <c r="BT221" s="14" t="s">
        <v>145</v>
      </c>
      <c r="BU221" s="1">
        <v>7</v>
      </c>
    </row>
    <row r="222" spans="1:73" ht="15.75">
      <c r="A222" s="79">
        <f t="shared" si="71"/>
        <v>12</v>
      </c>
      <c r="B222" s="152">
        <f t="shared" si="63"/>
        <v>0</v>
      </c>
      <c r="C222" s="81">
        <f t="shared" si="64"/>
        <v>0</v>
      </c>
      <c r="D222" s="83" t="s">
        <v>136</v>
      </c>
      <c r="E222" s="109">
        <v>35071</v>
      </c>
      <c r="F222" s="164" t="s">
        <v>126</v>
      </c>
      <c r="G222" s="86"/>
      <c r="H222" s="87"/>
      <c r="I222" s="87"/>
      <c r="J222" s="112"/>
      <c r="K222" s="89"/>
      <c r="L222" s="90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3"/>
      <c r="AK222" s="93"/>
      <c r="AL222" s="94"/>
      <c r="AM222" s="194"/>
      <c r="AN222" s="95">
        <f t="shared" si="65"/>
        <v>0</v>
      </c>
      <c r="AO222" s="28">
        <f t="shared" si="66"/>
        <v>0</v>
      </c>
      <c r="AP222" s="28"/>
      <c r="AQ222" s="28">
        <f t="shared" si="67"/>
        <v>0</v>
      </c>
      <c r="AR222" s="215" t="str">
        <f t="shared" si="58"/>
        <v>Cinová Katarína</v>
      </c>
      <c r="AS222" s="215">
        <f t="shared" si="68"/>
        <v>1996</v>
      </c>
      <c r="AT222" s="215" t="str">
        <f t="shared" si="69"/>
        <v>Gymnázium</v>
      </c>
      <c r="AU222">
        <f t="shared" si="59"/>
        <v>12</v>
      </c>
      <c r="AW222" s="77">
        <f t="shared" si="70"/>
        <v>35071</v>
      </c>
      <c r="BQ222" s="14" t="s">
        <v>76</v>
      </c>
      <c r="BR222" s="14" t="str">
        <f t="shared" si="60"/>
        <v>Vašeková Jana</v>
      </c>
      <c r="BS222" s="14">
        <v>1996</v>
      </c>
      <c r="BT222" s="14" t="s">
        <v>55</v>
      </c>
      <c r="BU222" s="1">
        <v>8</v>
      </c>
    </row>
    <row r="223" spans="1:73" ht="15.75">
      <c r="A223" s="79">
        <f t="shared" si="71"/>
        <v>13</v>
      </c>
      <c r="B223" s="152">
        <f t="shared" si="63"/>
        <v>0</v>
      </c>
      <c r="C223" s="81">
        <f t="shared" si="64"/>
        <v>0</v>
      </c>
      <c r="D223" s="83" t="s">
        <v>108</v>
      </c>
      <c r="E223" s="109">
        <v>35548</v>
      </c>
      <c r="F223" s="164" t="s">
        <v>87</v>
      </c>
      <c r="G223" s="86"/>
      <c r="H223" s="82"/>
      <c r="I223" s="87"/>
      <c r="J223" s="112"/>
      <c r="K223" s="89"/>
      <c r="L223" s="90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3"/>
      <c r="AK223" s="93"/>
      <c r="AL223" s="94"/>
      <c r="AM223" s="194"/>
      <c r="AN223" s="95">
        <f t="shared" si="65"/>
        <v>0</v>
      </c>
      <c r="AO223" s="28">
        <f t="shared" si="66"/>
        <v>0</v>
      </c>
      <c r="AP223" s="28"/>
      <c r="AQ223" s="28">
        <f t="shared" si="67"/>
        <v>0</v>
      </c>
      <c r="AR223" s="215" t="str">
        <f t="shared" si="58"/>
        <v>Kevedžová Katarína</v>
      </c>
      <c r="AS223" s="215">
        <f t="shared" si="68"/>
        <v>1997</v>
      </c>
      <c r="AT223" s="215" t="str">
        <f t="shared" si="69"/>
        <v>Kupeckého</v>
      </c>
      <c r="AU223">
        <f t="shared" si="59"/>
        <v>13</v>
      </c>
      <c r="AW223" s="77">
        <f t="shared" si="70"/>
        <v>35548</v>
      </c>
      <c r="BQ223" s="14" t="s">
        <v>310</v>
      </c>
      <c r="BR223" s="14" t="str">
        <f t="shared" si="60"/>
        <v>Silná Diana</v>
      </c>
      <c r="BS223" s="14">
        <v>1995</v>
      </c>
      <c r="BT223" s="14" t="s">
        <v>145</v>
      </c>
      <c r="BU223" s="1">
        <v>9</v>
      </c>
    </row>
    <row r="224" spans="1:73" ht="15.75">
      <c r="A224" s="79">
        <f t="shared" si="71"/>
        <v>14</v>
      </c>
      <c r="B224" s="152">
        <f t="shared" si="63"/>
        <v>0</v>
      </c>
      <c r="C224" s="81">
        <f t="shared" si="64"/>
        <v>0</v>
      </c>
      <c r="D224" s="83" t="s">
        <v>77</v>
      </c>
      <c r="E224" s="109">
        <v>35151</v>
      </c>
      <c r="F224" s="164" t="s">
        <v>55</v>
      </c>
      <c r="G224" s="86"/>
      <c r="H224" s="82"/>
      <c r="I224" s="87"/>
      <c r="J224" s="112"/>
      <c r="K224" s="89"/>
      <c r="L224" s="90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3"/>
      <c r="AK224" s="93"/>
      <c r="AL224" s="94"/>
      <c r="AM224" s="194"/>
      <c r="AN224" s="95">
        <f t="shared" si="65"/>
        <v>0</v>
      </c>
      <c r="AO224" s="28">
        <f t="shared" si="66"/>
        <v>0</v>
      </c>
      <c r="AP224" s="28"/>
      <c r="AQ224" s="28">
        <f t="shared" si="67"/>
        <v>0</v>
      </c>
      <c r="AR224" s="215" t="str">
        <f t="shared" si="58"/>
        <v>Kormanová Karin</v>
      </c>
      <c r="AS224" s="215">
        <f t="shared" si="68"/>
        <v>1996</v>
      </c>
      <c r="AT224" s="215" t="str">
        <f t="shared" si="69"/>
        <v>Fándlyho</v>
      </c>
      <c r="AU224">
        <f t="shared" si="59"/>
        <v>14</v>
      </c>
      <c r="AW224" s="77">
        <f t="shared" si="70"/>
        <v>35151</v>
      </c>
      <c r="BQ224" s="14" t="s">
        <v>311</v>
      </c>
      <c r="BR224" s="14" t="str">
        <f t="shared" si="60"/>
        <v>Furičková Štefánia</v>
      </c>
      <c r="BS224" s="14">
        <v>1994</v>
      </c>
      <c r="BT224" s="14" t="s">
        <v>145</v>
      </c>
      <c r="BU224" s="1">
        <v>10</v>
      </c>
    </row>
    <row r="225" spans="1:73" ht="15.75">
      <c r="A225" s="79">
        <f t="shared" si="71"/>
        <v>15</v>
      </c>
      <c r="B225" s="152">
        <f t="shared" si="63"/>
        <v>0</v>
      </c>
      <c r="C225" s="81">
        <f>H225+I225+J225+AM225+AO225*$AO$1</f>
        <v>0</v>
      </c>
      <c r="D225" s="83"/>
      <c r="E225" s="109"/>
      <c r="F225" s="164"/>
      <c r="G225" s="86"/>
      <c r="H225" s="82"/>
      <c r="I225" s="87"/>
      <c r="J225" s="112"/>
      <c r="K225" s="89"/>
      <c r="L225" s="90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3"/>
      <c r="AK225" s="93"/>
      <c r="AL225" s="94"/>
      <c r="AM225" s="194"/>
      <c r="AN225" s="95">
        <f aca="true" t="shared" si="72" ref="AN225:AN236">SUM(H225:AM225)</f>
        <v>0</v>
      </c>
      <c r="AO225" s="28">
        <f>SUM(L225:AL225)</f>
        <v>0</v>
      </c>
      <c r="AP225" s="28"/>
      <c r="AQ225" s="28">
        <f>C225</f>
        <v>0</v>
      </c>
      <c r="AR225" s="215">
        <f t="shared" si="58"/>
        <v>0</v>
      </c>
      <c r="AS225" s="215">
        <f t="shared" si="68"/>
        <v>1900</v>
      </c>
      <c r="AT225" s="215">
        <f t="shared" si="69"/>
        <v>0</v>
      </c>
      <c r="AU225">
        <f t="shared" si="59"/>
        <v>15</v>
      </c>
      <c r="AW225" s="77">
        <f t="shared" si="70"/>
        <v>0</v>
      </c>
      <c r="BQ225" s="14" t="s">
        <v>312</v>
      </c>
      <c r="BR225" s="14" t="str">
        <f t="shared" si="60"/>
        <v>Gajdošová Dominika</v>
      </c>
      <c r="BS225" s="14">
        <v>1995</v>
      </c>
      <c r="BT225" s="14" t="s">
        <v>55</v>
      </c>
      <c r="BU225" s="1">
        <v>11</v>
      </c>
    </row>
    <row r="226" spans="1:73" ht="15.75">
      <c r="A226" s="79">
        <f t="shared" si="71"/>
        <v>16</v>
      </c>
      <c r="B226" s="152">
        <f t="shared" si="63"/>
        <v>0</v>
      </c>
      <c r="C226" s="81">
        <f>H226+I226+J226+AM226+AO226*$AO$1</f>
        <v>0</v>
      </c>
      <c r="D226" s="83"/>
      <c r="E226" s="109"/>
      <c r="F226" s="164"/>
      <c r="G226" s="86"/>
      <c r="H226" s="82"/>
      <c r="I226" s="87"/>
      <c r="J226" s="112"/>
      <c r="K226" s="89"/>
      <c r="L226" s="90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3"/>
      <c r="AK226" s="93"/>
      <c r="AL226" s="94"/>
      <c r="AM226" s="194"/>
      <c r="AN226" s="95">
        <f t="shared" si="72"/>
        <v>0</v>
      </c>
      <c r="AO226" s="28">
        <f aca="true" t="shared" si="73" ref="AO226:AO242">SUM(L226:AL226)</f>
        <v>0</v>
      </c>
      <c r="AP226" s="28"/>
      <c r="AQ226" s="28">
        <f>C226</f>
        <v>0</v>
      </c>
      <c r="AR226" s="215">
        <f t="shared" si="58"/>
        <v>0</v>
      </c>
      <c r="AS226" s="215">
        <f t="shared" si="68"/>
        <v>1900</v>
      </c>
      <c r="AT226" s="215">
        <f t="shared" si="69"/>
        <v>0</v>
      </c>
      <c r="AU226">
        <f t="shared" si="59"/>
        <v>16</v>
      </c>
      <c r="AW226" s="77">
        <f t="shared" si="70"/>
        <v>0</v>
      </c>
      <c r="BQ226" s="14" t="s">
        <v>163</v>
      </c>
      <c r="BR226" s="14" t="str">
        <f t="shared" si="60"/>
        <v>Krpelanová Martina</v>
      </c>
      <c r="BS226" s="14">
        <v>1993</v>
      </c>
      <c r="BT226" s="14" t="s">
        <v>126</v>
      </c>
      <c r="BU226" s="1">
        <v>12</v>
      </c>
    </row>
    <row r="227" spans="1:73" ht="15.75">
      <c r="A227" s="79">
        <f t="shared" si="71"/>
        <v>17</v>
      </c>
      <c r="B227" s="152">
        <f t="shared" si="63"/>
        <v>0</v>
      </c>
      <c r="C227" s="81">
        <f aca="true" t="shared" si="74" ref="C227:C236">H227+I227+J227+AM227+AO227*$AO$1</f>
        <v>0</v>
      </c>
      <c r="D227" s="99"/>
      <c r="E227" s="109"/>
      <c r="F227" s="164"/>
      <c r="G227" s="86"/>
      <c r="H227" s="82"/>
      <c r="I227" s="87"/>
      <c r="J227" s="88"/>
      <c r="K227" s="89"/>
      <c r="L227" s="90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3"/>
      <c r="AK227" s="93"/>
      <c r="AL227" s="94"/>
      <c r="AM227" s="194"/>
      <c r="AN227" s="95">
        <f t="shared" si="72"/>
        <v>0</v>
      </c>
      <c r="AO227" s="28">
        <f t="shared" si="73"/>
        <v>0</v>
      </c>
      <c r="AP227" s="28"/>
      <c r="AQ227" s="28">
        <f>C227</f>
        <v>0</v>
      </c>
      <c r="AR227" s="215">
        <f t="shared" si="58"/>
        <v>0</v>
      </c>
      <c r="AS227" s="215">
        <f t="shared" si="68"/>
        <v>1900</v>
      </c>
      <c r="AT227" s="215">
        <f t="shared" si="69"/>
        <v>0</v>
      </c>
      <c r="AU227">
        <f t="shared" si="59"/>
        <v>17</v>
      </c>
      <c r="AW227" s="77">
        <f t="shared" si="70"/>
        <v>0</v>
      </c>
      <c r="BQ227" s="14" t="s">
        <v>313</v>
      </c>
      <c r="BR227" s="14" t="str">
        <f t="shared" si="60"/>
        <v>Čapkovičová Soňa</v>
      </c>
      <c r="BS227" s="14">
        <v>1995</v>
      </c>
      <c r="BT227" s="14" t="s">
        <v>55</v>
      </c>
      <c r="BU227" s="1">
        <v>13</v>
      </c>
    </row>
    <row r="228" spans="1:73" ht="15.75">
      <c r="A228" s="79">
        <f t="shared" si="71"/>
        <v>18</v>
      </c>
      <c r="B228" s="152">
        <f t="shared" si="63"/>
        <v>0</v>
      </c>
      <c r="C228" s="81">
        <f t="shared" si="74"/>
        <v>0</v>
      </c>
      <c r="D228" s="83"/>
      <c r="E228" s="109"/>
      <c r="F228" s="164"/>
      <c r="G228" s="86"/>
      <c r="H228" s="82"/>
      <c r="I228" s="87"/>
      <c r="J228" s="88"/>
      <c r="K228" s="89"/>
      <c r="L228" s="90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3"/>
      <c r="AK228" s="93"/>
      <c r="AL228" s="94"/>
      <c r="AM228" s="194"/>
      <c r="AN228" s="95">
        <f t="shared" si="72"/>
        <v>0</v>
      </c>
      <c r="AO228" s="28">
        <f t="shared" si="73"/>
        <v>0</v>
      </c>
      <c r="AP228" s="28"/>
      <c r="AQ228" s="28">
        <f>C228</f>
        <v>0</v>
      </c>
      <c r="AR228" s="215">
        <f t="shared" si="58"/>
        <v>0</v>
      </c>
      <c r="AS228" s="215">
        <f t="shared" si="68"/>
        <v>1900</v>
      </c>
      <c r="AT228" s="215">
        <f t="shared" si="69"/>
        <v>0</v>
      </c>
      <c r="AU228">
        <f t="shared" si="59"/>
        <v>18</v>
      </c>
      <c r="AW228" s="77">
        <f t="shared" si="70"/>
        <v>0</v>
      </c>
      <c r="BQ228" s="14" t="s">
        <v>314</v>
      </c>
      <c r="BR228" s="14" t="str">
        <f t="shared" si="60"/>
        <v>Smetanová Katarína</v>
      </c>
      <c r="BS228" s="14">
        <v>1995</v>
      </c>
      <c r="BT228" s="14" t="s">
        <v>55</v>
      </c>
      <c r="BU228" s="1">
        <v>14</v>
      </c>
    </row>
    <row r="229" spans="1:73" ht="15.75">
      <c r="A229" s="79">
        <f t="shared" si="71"/>
        <v>19</v>
      </c>
      <c r="B229" s="152">
        <f t="shared" si="63"/>
        <v>0</v>
      </c>
      <c r="C229" s="81">
        <f t="shared" si="74"/>
        <v>0</v>
      </c>
      <c r="D229" s="83"/>
      <c r="E229" s="109"/>
      <c r="F229" s="164"/>
      <c r="G229" s="86"/>
      <c r="H229" s="82"/>
      <c r="I229" s="87"/>
      <c r="J229" s="88"/>
      <c r="K229" s="89"/>
      <c r="L229" s="90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3"/>
      <c r="AK229" s="93"/>
      <c r="AL229" s="94"/>
      <c r="AM229" s="194"/>
      <c r="AN229" s="95">
        <f t="shared" si="72"/>
        <v>0</v>
      </c>
      <c r="AO229" s="28">
        <f t="shared" si="73"/>
        <v>0</v>
      </c>
      <c r="AP229" s="28"/>
      <c r="AQ229" s="28">
        <f>C229</f>
        <v>0</v>
      </c>
      <c r="AR229" s="215">
        <f t="shared" si="58"/>
        <v>0</v>
      </c>
      <c r="AS229" s="215">
        <f t="shared" si="68"/>
        <v>1900</v>
      </c>
      <c r="AT229" s="215">
        <f t="shared" si="69"/>
        <v>0</v>
      </c>
      <c r="AU229">
        <f t="shared" si="59"/>
        <v>19</v>
      </c>
      <c r="AW229" s="77">
        <f t="shared" si="70"/>
        <v>0</v>
      </c>
      <c r="BQ229" s="14" t="s">
        <v>315</v>
      </c>
      <c r="BR229" s="14" t="str">
        <f t="shared" si="60"/>
        <v>Cisárová Adriana</v>
      </c>
      <c r="BS229" s="14">
        <v>1994</v>
      </c>
      <c r="BT229" s="14" t="s">
        <v>145</v>
      </c>
      <c r="BU229" s="1">
        <v>15</v>
      </c>
    </row>
    <row r="230" spans="1:73" ht="15.75">
      <c r="A230" s="79">
        <f t="shared" si="71"/>
        <v>20</v>
      </c>
      <c r="B230" s="152">
        <f t="shared" si="63"/>
        <v>0</v>
      </c>
      <c r="C230" s="81">
        <f t="shared" si="74"/>
        <v>0</v>
      </c>
      <c r="D230" s="83"/>
      <c r="E230" s="109"/>
      <c r="F230" s="164"/>
      <c r="G230" s="86"/>
      <c r="H230" s="82"/>
      <c r="I230" s="87"/>
      <c r="J230" s="88"/>
      <c r="K230" s="89"/>
      <c r="L230" s="90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3"/>
      <c r="AK230" s="93"/>
      <c r="AL230" s="94"/>
      <c r="AM230" s="194"/>
      <c r="AN230" s="95">
        <f t="shared" si="72"/>
        <v>0</v>
      </c>
      <c r="AO230" s="28">
        <f t="shared" si="73"/>
        <v>0</v>
      </c>
      <c r="AP230" s="28"/>
      <c r="AQ230" s="28">
        <f>C230</f>
        <v>0</v>
      </c>
      <c r="AR230" s="215">
        <f t="shared" si="58"/>
        <v>0</v>
      </c>
      <c r="AS230" s="215">
        <f t="shared" si="68"/>
        <v>1900</v>
      </c>
      <c r="AT230" s="215">
        <f t="shared" si="69"/>
        <v>0</v>
      </c>
      <c r="AU230">
        <f t="shared" si="59"/>
        <v>20</v>
      </c>
      <c r="AW230" s="77">
        <f t="shared" si="70"/>
        <v>0</v>
      </c>
      <c r="BQ230" s="14" t="s">
        <v>78</v>
      </c>
      <c r="BR230" s="14" t="str">
        <f t="shared" si="60"/>
        <v>Toráčová Michaela</v>
      </c>
      <c r="BS230" s="14">
        <v>1995</v>
      </c>
      <c r="BT230" s="14" t="s">
        <v>55</v>
      </c>
      <c r="BU230" s="1">
        <v>16</v>
      </c>
    </row>
    <row r="231" spans="1:73" ht="15.75">
      <c r="A231" s="79">
        <f t="shared" si="71"/>
        <v>21</v>
      </c>
      <c r="B231" s="152">
        <f t="shared" si="63"/>
        <v>0</v>
      </c>
      <c r="C231" s="81">
        <f t="shared" si="74"/>
        <v>0</v>
      </c>
      <c r="D231" s="83"/>
      <c r="E231" s="109"/>
      <c r="F231" s="164"/>
      <c r="G231" s="86"/>
      <c r="H231" s="82"/>
      <c r="I231" s="87"/>
      <c r="J231" s="88"/>
      <c r="K231" s="89"/>
      <c r="L231" s="90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3"/>
      <c r="AK231" s="93"/>
      <c r="AL231" s="94"/>
      <c r="AM231" s="194"/>
      <c r="AN231" s="95">
        <f t="shared" si="72"/>
        <v>0</v>
      </c>
      <c r="AO231" s="28">
        <f t="shared" si="73"/>
        <v>0</v>
      </c>
      <c r="AP231" s="28"/>
      <c r="AQ231" s="28">
        <f>C231</f>
        <v>0</v>
      </c>
      <c r="AR231" s="215">
        <f t="shared" si="58"/>
        <v>0</v>
      </c>
      <c r="AS231" s="215">
        <f t="shared" si="68"/>
        <v>1900</v>
      </c>
      <c r="AT231" s="215">
        <f t="shared" si="69"/>
        <v>0</v>
      </c>
      <c r="AU231">
        <f t="shared" si="59"/>
        <v>21</v>
      </c>
      <c r="AW231" s="77">
        <f t="shared" si="70"/>
        <v>0</v>
      </c>
      <c r="BQ231" s="14" t="s">
        <v>316</v>
      </c>
      <c r="BR231" s="14" t="str">
        <f t="shared" si="60"/>
        <v>Vojteková Kristína</v>
      </c>
      <c r="BS231" s="14">
        <v>1994</v>
      </c>
      <c r="BT231" s="14" t="s">
        <v>145</v>
      </c>
      <c r="BU231" s="1">
        <v>17</v>
      </c>
    </row>
    <row r="232" spans="1:73" ht="15.75">
      <c r="A232" s="79">
        <f t="shared" si="71"/>
        <v>22</v>
      </c>
      <c r="B232" s="152">
        <f t="shared" si="63"/>
        <v>0</v>
      </c>
      <c r="C232" s="81">
        <f t="shared" si="74"/>
        <v>0</v>
      </c>
      <c r="D232" s="83"/>
      <c r="E232" s="109"/>
      <c r="F232" s="164"/>
      <c r="G232" s="86"/>
      <c r="H232" s="110"/>
      <c r="I232" s="111"/>
      <c r="J232" s="112"/>
      <c r="K232" s="113"/>
      <c r="L232" s="114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6"/>
      <c r="AK232" s="116"/>
      <c r="AL232" s="117"/>
      <c r="AM232" s="195"/>
      <c r="AN232" s="95">
        <f t="shared" si="72"/>
        <v>0</v>
      </c>
      <c r="AO232" s="28">
        <f t="shared" si="73"/>
        <v>0</v>
      </c>
      <c r="AP232" s="28"/>
      <c r="AQ232" s="28">
        <f>C232</f>
        <v>0</v>
      </c>
      <c r="AR232" s="215">
        <f t="shared" si="58"/>
        <v>0</v>
      </c>
      <c r="AS232" s="215">
        <f t="shared" si="68"/>
        <v>1900</v>
      </c>
      <c r="AT232" s="215">
        <f t="shared" si="69"/>
        <v>0</v>
      </c>
      <c r="AU232">
        <f t="shared" si="59"/>
        <v>22</v>
      </c>
      <c r="AW232" s="77">
        <f t="shared" si="70"/>
        <v>0</v>
      </c>
      <c r="BQ232" s="14" t="s">
        <v>317</v>
      </c>
      <c r="BR232" s="14" t="str">
        <f t="shared" si="60"/>
        <v>Slezáková Klára</v>
      </c>
      <c r="BS232" s="14">
        <v>1995</v>
      </c>
      <c r="BT232" s="14" t="s">
        <v>55</v>
      </c>
      <c r="BU232" s="1">
        <v>18</v>
      </c>
    </row>
    <row r="233" spans="1:73" ht="15.75">
      <c r="A233" s="79">
        <f t="shared" si="71"/>
        <v>23</v>
      </c>
      <c r="B233" s="152">
        <f t="shared" si="63"/>
        <v>0</v>
      </c>
      <c r="C233" s="81">
        <f t="shared" si="74"/>
        <v>0</v>
      </c>
      <c r="D233" s="99"/>
      <c r="E233" s="109"/>
      <c r="F233" s="164"/>
      <c r="G233" s="86"/>
      <c r="H233" s="110"/>
      <c r="I233" s="111"/>
      <c r="J233" s="112"/>
      <c r="K233" s="113"/>
      <c r="L233" s="114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6"/>
      <c r="AK233" s="116"/>
      <c r="AL233" s="117"/>
      <c r="AM233" s="195"/>
      <c r="AN233" s="95">
        <f t="shared" si="72"/>
        <v>0</v>
      </c>
      <c r="AO233" s="28">
        <f t="shared" si="73"/>
        <v>0</v>
      </c>
      <c r="AP233" s="28"/>
      <c r="AQ233" s="28">
        <f>C233</f>
        <v>0</v>
      </c>
      <c r="AR233" s="215">
        <f t="shared" si="58"/>
        <v>0</v>
      </c>
      <c r="AS233" s="215">
        <f t="shared" si="68"/>
        <v>1900</v>
      </c>
      <c r="AT233" s="215">
        <f t="shared" si="69"/>
        <v>0</v>
      </c>
      <c r="AU233">
        <f t="shared" si="59"/>
        <v>23</v>
      </c>
      <c r="AW233" s="77">
        <f t="shared" si="70"/>
        <v>0</v>
      </c>
      <c r="BQ233" s="14" t="s">
        <v>318</v>
      </c>
      <c r="BR233" s="14" t="str">
        <f t="shared" si="60"/>
        <v>Hodáková Hana</v>
      </c>
      <c r="BS233" s="14">
        <v>1995</v>
      </c>
      <c r="BT233" s="14" t="s">
        <v>55</v>
      </c>
      <c r="BU233" s="1">
        <v>19</v>
      </c>
    </row>
    <row r="234" spans="1:73" ht="15.75">
      <c r="A234" s="79">
        <f t="shared" si="71"/>
        <v>24</v>
      </c>
      <c r="B234" s="152">
        <f t="shared" si="63"/>
        <v>0</v>
      </c>
      <c r="C234" s="81">
        <f t="shared" si="74"/>
        <v>0</v>
      </c>
      <c r="D234" s="83"/>
      <c r="E234" s="109"/>
      <c r="F234" s="164"/>
      <c r="G234" s="86"/>
      <c r="H234" s="111"/>
      <c r="I234" s="111"/>
      <c r="J234" s="112"/>
      <c r="K234" s="113"/>
      <c r="L234" s="114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6"/>
      <c r="AK234" s="116"/>
      <c r="AL234" s="117"/>
      <c r="AM234" s="195"/>
      <c r="AN234" s="95">
        <f t="shared" si="72"/>
        <v>0</v>
      </c>
      <c r="AO234" s="28">
        <f t="shared" si="73"/>
        <v>0</v>
      </c>
      <c r="AP234" s="28"/>
      <c r="AQ234" s="28">
        <f>C234</f>
        <v>0</v>
      </c>
      <c r="AR234" s="215">
        <f t="shared" si="58"/>
        <v>0</v>
      </c>
      <c r="AS234" s="215">
        <f t="shared" si="68"/>
        <v>1900</v>
      </c>
      <c r="AT234" s="215">
        <f t="shared" si="69"/>
        <v>0</v>
      </c>
      <c r="AU234">
        <f t="shared" si="59"/>
        <v>24</v>
      </c>
      <c r="AW234" s="77">
        <f t="shared" si="70"/>
        <v>0</v>
      </c>
      <c r="BQ234" s="14" t="s">
        <v>319</v>
      </c>
      <c r="BR234" s="14" t="str">
        <f t="shared" si="60"/>
        <v>Bőhmová Denisa</v>
      </c>
      <c r="BS234" s="14">
        <v>1994</v>
      </c>
      <c r="BT234" s="14" t="s">
        <v>145</v>
      </c>
      <c r="BU234" s="1">
        <v>20</v>
      </c>
    </row>
    <row r="235" spans="1:73" ht="15.75">
      <c r="A235" s="79">
        <f t="shared" si="71"/>
        <v>25</v>
      </c>
      <c r="B235" s="152">
        <f t="shared" si="63"/>
        <v>0</v>
      </c>
      <c r="C235" s="81">
        <f t="shared" si="74"/>
        <v>0</v>
      </c>
      <c r="D235" s="83"/>
      <c r="E235" s="109"/>
      <c r="F235" s="164"/>
      <c r="G235" s="86"/>
      <c r="H235" s="110"/>
      <c r="I235" s="111"/>
      <c r="J235" s="112"/>
      <c r="K235" s="113"/>
      <c r="L235" s="114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6"/>
      <c r="AK235" s="116"/>
      <c r="AL235" s="117"/>
      <c r="AM235" s="195"/>
      <c r="AN235" s="95">
        <f t="shared" si="72"/>
        <v>0</v>
      </c>
      <c r="AO235" s="28">
        <f t="shared" si="73"/>
        <v>0</v>
      </c>
      <c r="AP235" s="28"/>
      <c r="AQ235" s="28">
        <f>C235</f>
        <v>0</v>
      </c>
      <c r="AR235" s="215">
        <f t="shared" si="58"/>
        <v>0</v>
      </c>
      <c r="AS235" s="215">
        <f t="shared" si="68"/>
        <v>1900</v>
      </c>
      <c r="AT235" s="215">
        <f t="shared" si="69"/>
        <v>0</v>
      </c>
      <c r="AU235">
        <f t="shared" si="59"/>
        <v>25</v>
      </c>
      <c r="AW235" s="77">
        <f t="shared" si="70"/>
        <v>0</v>
      </c>
      <c r="BQ235" s="14" t="s">
        <v>79</v>
      </c>
      <c r="BR235" s="14" t="str">
        <f t="shared" si="60"/>
        <v>Grolichová Kristína</v>
      </c>
      <c r="BS235" s="14">
        <v>1996</v>
      </c>
      <c r="BT235" s="14" t="s">
        <v>55</v>
      </c>
      <c r="BU235" s="1">
        <v>21</v>
      </c>
    </row>
    <row r="236" spans="1:73" ht="16.5" thickBot="1">
      <c r="A236" s="118">
        <f t="shared" si="71"/>
        <v>26</v>
      </c>
      <c r="B236" s="165">
        <f t="shared" si="63"/>
        <v>0</v>
      </c>
      <c r="C236" s="120">
        <f t="shared" si="74"/>
        <v>0</v>
      </c>
      <c r="D236" s="122"/>
      <c r="E236" s="166"/>
      <c r="F236" s="184"/>
      <c r="G236" s="125"/>
      <c r="H236" s="121"/>
      <c r="I236" s="126"/>
      <c r="J236" s="127"/>
      <c r="K236" s="128"/>
      <c r="L236" s="129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2"/>
      <c r="AK236" s="132"/>
      <c r="AL236" s="133"/>
      <c r="AM236" s="196"/>
      <c r="AN236" s="134">
        <f t="shared" si="72"/>
        <v>0</v>
      </c>
      <c r="AO236" s="28">
        <f t="shared" si="73"/>
        <v>0</v>
      </c>
      <c r="AP236" s="28"/>
      <c r="AQ236" s="28">
        <f>C236</f>
        <v>0</v>
      </c>
      <c r="AR236" s="215">
        <f t="shared" si="58"/>
        <v>0</v>
      </c>
      <c r="AS236" s="215">
        <f t="shared" si="68"/>
        <v>1900</v>
      </c>
      <c r="AT236" s="215">
        <f t="shared" si="69"/>
        <v>0</v>
      </c>
      <c r="AU236">
        <f t="shared" si="59"/>
        <v>26</v>
      </c>
      <c r="AW236" s="77">
        <f t="shared" si="70"/>
        <v>0</v>
      </c>
      <c r="BQ236" s="14" t="s">
        <v>320</v>
      </c>
      <c r="BR236" s="14" t="str">
        <f t="shared" si="60"/>
        <v>Benčúriková Daniela</v>
      </c>
      <c r="BS236" s="14">
        <v>1996</v>
      </c>
      <c r="BT236" s="14" t="s">
        <v>145</v>
      </c>
      <c r="BU236" s="1">
        <v>22</v>
      </c>
    </row>
    <row r="237" spans="1:73" ht="15.75">
      <c r="A237" s="39"/>
      <c r="B237" s="37"/>
      <c r="C237" s="30"/>
      <c r="D237" s="14"/>
      <c r="E237" s="77"/>
      <c r="F237" s="14"/>
      <c r="G237" s="197"/>
      <c r="H237" s="198"/>
      <c r="I237" s="35"/>
      <c r="J237" s="198"/>
      <c r="K237" s="14"/>
      <c r="L237" s="199"/>
      <c r="M237" s="16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14"/>
      <c r="AK237" s="14"/>
      <c r="AL237" s="14"/>
      <c r="AM237" s="14"/>
      <c r="AN237" s="28"/>
      <c r="AO237" s="28">
        <f t="shared" si="73"/>
        <v>0</v>
      </c>
      <c r="AP237" s="28"/>
      <c r="AQ237" s="28">
        <f>C237</f>
        <v>0</v>
      </c>
      <c r="AR237" s="215">
        <f t="shared" si="58"/>
        <v>0</v>
      </c>
      <c r="AS237" s="215">
        <f t="shared" si="68"/>
        <v>1900</v>
      </c>
      <c r="AT237" s="215">
        <f t="shared" si="69"/>
        <v>0</v>
      </c>
      <c r="AU237">
        <f t="shared" si="59"/>
        <v>0</v>
      </c>
      <c r="AW237" s="77">
        <f t="shared" si="70"/>
        <v>0</v>
      </c>
      <c r="BQ237" s="14" t="s">
        <v>77</v>
      </c>
      <c r="BR237" s="14" t="str">
        <f t="shared" si="60"/>
        <v>Kormanová Karin</v>
      </c>
      <c r="BS237" s="14">
        <v>1996</v>
      </c>
      <c r="BT237" s="14" t="s">
        <v>55</v>
      </c>
      <c r="BU237" s="1">
        <v>23</v>
      </c>
    </row>
    <row r="238" spans="1:73" ht="15.75">
      <c r="A238" s="39"/>
      <c r="B238" s="37"/>
      <c r="C238" s="30"/>
      <c r="D238" s="14"/>
      <c r="E238" s="77"/>
      <c r="F238" s="28"/>
      <c r="G238" s="197"/>
      <c r="H238" s="198"/>
      <c r="I238" s="35"/>
      <c r="J238" s="198"/>
      <c r="K238" s="14"/>
      <c r="L238" s="199"/>
      <c r="M238" s="16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C238" s="199"/>
      <c r="AD238" s="199"/>
      <c r="AE238" s="199"/>
      <c r="AF238" s="199"/>
      <c r="AG238" s="199"/>
      <c r="AH238" s="199"/>
      <c r="AI238" s="199"/>
      <c r="AJ238" s="14"/>
      <c r="AK238" s="14"/>
      <c r="AL238" s="14"/>
      <c r="AM238" s="14"/>
      <c r="AN238" s="28"/>
      <c r="AO238" s="28">
        <f t="shared" si="73"/>
        <v>0</v>
      </c>
      <c r="AP238" s="28"/>
      <c r="AQ238" s="28">
        <f>C238</f>
        <v>0</v>
      </c>
      <c r="AR238" s="215">
        <f t="shared" si="58"/>
        <v>0</v>
      </c>
      <c r="AS238" s="215">
        <f t="shared" si="68"/>
        <v>1900</v>
      </c>
      <c r="AT238" s="215">
        <f t="shared" si="69"/>
        <v>0</v>
      </c>
      <c r="AU238">
        <f t="shared" si="59"/>
        <v>0</v>
      </c>
      <c r="AW238" s="77">
        <f t="shared" si="70"/>
        <v>0</v>
      </c>
      <c r="BQ238" s="14" t="s">
        <v>321</v>
      </c>
      <c r="BR238" s="14" t="str">
        <f t="shared" si="60"/>
        <v>Krajňáková Patrícia</v>
      </c>
      <c r="BS238" s="14">
        <v>1996</v>
      </c>
      <c r="BT238" s="14" t="s">
        <v>55</v>
      </c>
      <c r="BU238" s="1">
        <v>23</v>
      </c>
    </row>
    <row r="239" spans="1:73" ht="18.75" thickBot="1">
      <c r="A239" s="200" t="s">
        <v>144</v>
      </c>
      <c r="B239" s="201"/>
      <c r="D239" s="200"/>
      <c r="E239" s="202"/>
      <c r="F239" s="200"/>
      <c r="AO239" s="28">
        <f t="shared" si="73"/>
        <v>0</v>
      </c>
      <c r="AP239" s="28"/>
      <c r="AQ239" s="28">
        <f>C239</f>
        <v>0</v>
      </c>
      <c r="AR239" s="215">
        <f t="shared" si="58"/>
        <v>0</v>
      </c>
      <c r="AS239" s="215">
        <f t="shared" si="68"/>
        <v>1900</v>
      </c>
      <c r="AT239" s="215">
        <f t="shared" si="69"/>
        <v>0</v>
      </c>
      <c r="AU239" t="str">
        <f t="shared" si="59"/>
        <v>Mladšie žiačky</v>
      </c>
      <c r="AW239" s="77">
        <f t="shared" si="70"/>
        <v>0</v>
      </c>
      <c r="BQ239" s="14" t="s">
        <v>322</v>
      </c>
      <c r="BR239" s="14" t="str">
        <f t="shared" si="60"/>
        <v>Kráľovičová Alena</v>
      </c>
      <c r="BS239" s="14">
        <v>1996</v>
      </c>
      <c r="BT239" s="14" t="s">
        <v>55</v>
      </c>
      <c r="BU239" s="1">
        <v>23</v>
      </c>
    </row>
    <row r="240" spans="1:73" ht="18.75" thickBot="1">
      <c r="A240" s="200"/>
      <c r="B240" s="201"/>
      <c r="D240" s="200"/>
      <c r="E240" s="202"/>
      <c r="F240" s="203"/>
      <c r="G240" s="33" t="s">
        <v>166</v>
      </c>
      <c r="H240" s="34"/>
      <c r="I240" s="35"/>
      <c r="J240" s="34"/>
      <c r="K240" s="34"/>
      <c r="L240" s="232" t="s">
        <v>167</v>
      </c>
      <c r="M240" s="233"/>
      <c r="N240" s="233"/>
      <c r="O240" s="233"/>
      <c r="P240" s="233"/>
      <c r="Q240" s="233"/>
      <c r="R240" s="234"/>
      <c r="S240" s="234"/>
      <c r="T240" s="234"/>
      <c r="U240" s="234"/>
      <c r="V240" s="234"/>
      <c r="W240" s="234"/>
      <c r="X240" s="234"/>
      <c r="Y240" s="234"/>
      <c r="Z240" s="234"/>
      <c r="AA240" s="234"/>
      <c r="AB240" s="234"/>
      <c r="AC240" s="234"/>
      <c r="AD240" s="234"/>
      <c r="AE240" s="234"/>
      <c r="AF240" s="234"/>
      <c r="AG240" s="234"/>
      <c r="AH240" s="234"/>
      <c r="AI240" s="234"/>
      <c r="AJ240" s="234"/>
      <c r="AK240" s="234"/>
      <c r="AL240" s="234"/>
      <c r="AM240" s="235"/>
      <c r="AN240" s="14"/>
      <c r="AO240" s="28">
        <f t="shared" si="73"/>
        <v>0</v>
      </c>
      <c r="AP240" s="28"/>
      <c r="AQ240" s="28">
        <f>C240</f>
        <v>0</v>
      </c>
      <c r="AR240" s="215">
        <f t="shared" si="58"/>
        <v>0</v>
      </c>
      <c r="AS240" s="215">
        <f t="shared" si="68"/>
        <v>1900</v>
      </c>
      <c r="AT240" s="215">
        <f t="shared" si="69"/>
        <v>0</v>
      </c>
      <c r="AU240">
        <f t="shared" si="59"/>
        <v>0</v>
      </c>
      <c r="AW240" s="77">
        <f t="shared" si="70"/>
        <v>0</v>
      </c>
      <c r="BQ240" s="14" t="s">
        <v>323</v>
      </c>
      <c r="BR240" s="14" t="str">
        <f t="shared" si="60"/>
        <v>Minarovičová Barbora</v>
      </c>
      <c r="BS240" s="14">
        <v>1966</v>
      </c>
      <c r="BT240" s="14" t="s">
        <v>145</v>
      </c>
      <c r="BU240" s="1">
        <v>23</v>
      </c>
    </row>
    <row r="241" spans="2:73" ht="15.75" thickBot="1">
      <c r="B241" s="236" t="s">
        <v>168</v>
      </c>
      <c r="C241" s="237"/>
      <c r="D241" s="143"/>
      <c r="E241" s="204"/>
      <c r="F241" s="203"/>
      <c r="G241" s="41" t="s">
        <v>169</v>
      </c>
      <c r="H241" s="238" t="s">
        <v>170</v>
      </c>
      <c r="I241" s="239"/>
      <c r="J241" s="240"/>
      <c r="K241" s="42"/>
      <c r="L241" s="241" t="s">
        <v>171</v>
      </c>
      <c r="M241" s="242"/>
      <c r="N241" s="242"/>
      <c r="O241" s="242"/>
      <c r="P241" s="242"/>
      <c r="Q241" s="242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  <c r="AJ241" s="243"/>
      <c r="AK241" s="243"/>
      <c r="AL241" s="243"/>
      <c r="AM241" s="244"/>
      <c r="AN241" s="146" t="s">
        <v>172</v>
      </c>
      <c r="AO241" s="28">
        <f t="shared" si="73"/>
        <v>0</v>
      </c>
      <c r="AP241" s="28"/>
      <c r="AQ241" s="28">
        <f>C241</f>
        <v>0</v>
      </c>
      <c r="AR241" s="215">
        <f t="shared" si="58"/>
        <v>0</v>
      </c>
      <c r="AS241" s="215">
        <f t="shared" si="68"/>
        <v>1900</v>
      </c>
      <c r="AT241" s="215">
        <f t="shared" si="69"/>
        <v>0</v>
      </c>
      <c r="AU241">
        <f t="shared" si="59"/>
        <v>0</v>
      </c>
      <c r="AW241" s="77">
        <f t="shared" si="70"/>
        <v>0</v>
      </c>
      <c r="BQ241" s="14" t="s">
        <v>324</v>
      </c>
      <c r="BR241" s="14" t="str">
        <f t="shared" si="60"/>
        <v>Reháková Kristína</v>
      </c>
      <c r="BS241" s="14">
        <v>1994</v>
      </c>
      <c r="BT241" s="14" t="s">
        <v>55</v>
      </c>
      <c r="BU241" s="1">
        <v>23</v>
      </c>
    </row>
    <row r="242" spans="1:73" ht="16.5" thickBot="1">
      <c r="A242" s="147" t="s">
        <v>173</v>
      </c>
      <c r="B242" s="46" t="s">
        <v>174</v>
      </c>
      <c r="C242" s="47" t="s">
        <v>30</v>
      </c>
      <c r="D242" s="48" t="s">
        <v>183</v>
      </c>
      <c r="E242" s="148" t="s">
        <v>175</v>
      </c>
      <c r="F242" s="149" t="s">
        <v>142</v>
      </c>
      <c r="G242" s="51"/>
      <c r="H242" s="186" t="s">
        <v>176</v>
      </c>
      <c r="I242" s="187" t="s">
        <v>177</v>
      </c>
      <c r="J242" s="205" t="s">
        <v>178</v>
      </c>
      <c r="K242" s="55" t="s">
        <v>179</v>
      </c>
      <c r="L242" s="206">
        <v>1</v>
      </c>
      <c r="M242" s="190">
        <f aca="true" t="shared" si="75" ref="M242:AL242">L242+1</f>
        <v>2</v>
      </c>
      <c r="N242" s="190">
        <f t="shared" si="75"/>
        <v>3</v>
      </c>
      <c r="O242" s="190">
        <f t="shared" si="75"/>
        <v>4</v>
      </c>
      <c r="P242" s="190">
        <f t="shared" si="75"/>
        <v>5</v>
      </c>
      <c r="Q242" s="190">
        <f t="shared" si="75"/>
        <v>6</v>
      </c>
      <c r="R242" s="190">
        <f t="shared" si="75"/>
        <v>7</v>
      </c>
      <c r="S242" s="190">
        <f t="shared" si="75"/>
        <v>8</v>
      </c>
      <c r="T242" s="190">
        <f t="shared" si="75"/>
        <v>9</v>
      </c>
      <c r="U242" s="190">
        <f t="shared" si="75"/>
        <v>10</v>
      </c>
      <c r="V242" s="190">
        <f t="shared" si="75"/>
        <v>11</v>
      </c>
      <c r="W242" s="190">
        <f t="shared" si="75"/>
        <v>12</v>
      </c>
      <c r="X242" s="190">
        <f t="shared" si="75"/>
        <v>13</v>
      </c>
      <c r="Y242" s="190">
        <f t="shared" si="75"/>
        <v>14</v>
      </c>
      <c r="Z242" s="190">
        <f t="shared" si="75"/>
        <v>15</v>
      </c>
      <c r="AA242" s="190">
        <f t="shared" si="75"/>
        <v>16</v>
      </c>
      <c r="AB242" s="190">
        <f t="shared" si="75"/>
        <v>17</v>
      </c>
      <c r="AC242" s="190">
        <f t="shared" si="75"/>
        <v>18</v>
      </c>
      <c r="AD242" s="190">
        <f t="shared" si="75"/>
        <v>19</v>
      </c>
      <c r="AE242" s="190">
        <f t="shared" si="75"/>
        <v>20</v>
      </c>
      <c r="AF242" s="190">
        <f t="shared" si="75"/>
        <v>21</v>
      </c>
      <c r="AG242" s="190">
        <f t="shared" si="75"/>
        <v>22</v>
      </c>
      <c r="AH242" s="190">
        <f t="shared" si="75"/>
        <v>23</v>
      </c>
      <c r="AI242" s="190">
        <f t="shared" si="75"/>
        <v>24</v>
      </c>
      <c r="AJ242" s="190">
        <f t="shared" si="75"/>
        <v>25</v>
      </c>
      <c r="AK242" s="190">
        <f t="shared" si="75"/>
        <v>26</v>
      </c>
      <c r="AL242" s="190">
        <f t="shared" si="75"/>
        <v>27</v>
      </c>
      <c r="AM242" s="191" t="s">
        <v>179</v>
      </c>
      <c r="AN242" s="192" t="s">
        <v>180</v>
      </c>
      <c r="AO242" s="28">
        <f t="shared" si="73"/>
        <v>378</v>
      </c>
      <c r="AP242" s="28"/>
      <c r="AQ242" s="28" t="str">
        <f>C242</f>
        <v>jednotlivci</v>
      </c>
      <c r="AR242" s="215" t="str">
        <f t="shared" si="58"/>
        <v>Priezvisko, meno</v>
      </c>
      <c r="AS242" s="215" t="e">
        <f t="shared" si="68"/>
        <v>#VALUE!</v>
      </c>
      <c r="AT242" s="215" t="str">
        <f t="shared" si="69"/>
        <v>škola</v>
      </c>
      <c r="AU242" t="str">
        <f t="shared" si="59"/>
        <v>por</v>
      </c>
      <c r="AW242" s="77" t="str">
        <f t="shared" si="70"/>
        <v>nar.</v>
      </c>
      <c r="BQ242" s="14" t="s">
        <v>245</v>
      </c>
      <c r="BR242" s="14">
        <f t="shared" si="60"/>
      </c>
      <c r="BS242" s="14">
        <v>1900</v>
      </c>
      <c r="BT242" s="14">
        <v>0</v>
      </c>
      <c r="BU242" s="1">
        <v>23</v>
      </c>
    </row>
    <row r="243" spans="1:73" ht="15.75">
      <c r="A243" s="150">
        <v>1</v>
      </c>
      <c r="B243" s="62">
        <f aca="true" t="shared" si="76" ref="B243:B268">AN243</f>
        <v>453</v>
      </c>
      <c r="C243" s="63">
        <f aca="true" t="shared" si="77" ref="C243:C260">H243+I243+J243+AM243+AO243*$AO$1</f>
        <v>453</v>
      </c>
      <c r="D243" s="65" t="s">
        <v>68</v>
      </c>
      <c r="E243" s="151">
        <v>36112</v>
      </c>
      <c r="F243" s="67" t="s">
        <v>126</v>
      </c>
      <c r="G243" s="68">
        <v>100</v>
      </c>
      <c r="H243" s="64">
        <v>100</v>
      </c>
      <c r="I243" s="69">
        <f>100+80+65+32+50+26</f>
        <v>353</v>
      </c>
      <c r="J243" s="70"/>
      <c r="K243" s="71"/>
      <c r="L243" s="72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4"/>
      <c r="AK243" s="74"/>
      <c r="AL243" s="75"/>
      <c r="AM243" s="193"/>
      <c r="AN243" s="76">
        <f aca="true" t="shared" si="78" ref="AN243:AN260">SUM(H243:AM243)</f>
        <v>453</v>
      </c>
      <c r="AO243" s="28">
        <f aca="true" t="shared" si="79" ref="AO243:AO260">SUM(L243:AL243)</f>
        <v>0</v>
      </c>
      <c r="AP243" s="28"/>
      <c r="AQ243" s="28">
        <f aca="true" t="shared" si="80" ref="AQ243:AQ260">C243</f>
        <v>453</v>
      </c>
      <c r="AR243" s="215" t="str">
        <f t="shared" si="58"/>
        <v>Cviková Valentína</v>
      </c>
      <c r="AS243" s="215">
        <f t="shared" si="68"/>
        <v>1998</v>
      </c>
      <c r="AT243" s="215" t="str">
        <f t="shared" si="69"/>
        <v>Gymnázium</v>
      </c>
      <c r="AU243">
        <f t="shared" si="59"/>
        <v>1</v>
      </c>
      <c r="AW243" s="77">
        <f t="shared" si="70"/>
        <v>36112</v>
      </c>
      <c r="BQ243" s="14" t="s">
        <v>245</v>
      </c>
      <c r="BR243" s="14">
        <f t="shared" si="60"/>
      </c>
      <c r="BS243" s="14">
        <v>1900</v>
      </c>
      <c r="BT243" s="14">
        <v>0</v>
      </c>
      <c r="BU243" s="1">
        <v>23</v>
      </c>
    </row>
    <row r="244" spans="1:72" ht="15.75">
      <c r="A244" s="79">
        <f aca="true" t="shared" si="81" ref="A244:A268">A243+1</f>
        <v>2</v>
      </c>
      <c r="B244" s="80">
        <f t="shared" si="76"/>
        <v>365</v>
      </c>
      <c r="C244" s="81">
        <f t="shared" si="77"/>
        <v>365</v>
      </c>
      <c r="D244" s="83" t="s">
        <v>70</v>
      </c>
      <c r="E244" s="109">
        <v>35999</v>
      </c>
      <c r="F244" s="164" t="s">
        <v>55</v>
      </c>
      <c r="G244" s="86">
        <v>80</v>
      </c>
      <c r="H244" s="82">
        <v>80</v>
      </c>
      <c r="I244" s="87">
        <f>80+65+50+32+26+32</f>
        <v>285</v>
      </c>
      <c r="J244" s="88"/>
      <c r="K244" s="89"/>
      <c r="L244" s="90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3"/>
      <c r="AK244" s="93"/>
      <c r="AL244" s="94"/>
      <c r="AM244" s="194"/>
      <c r="AN244" s="95">
        <f t="shared" si="78"/>
        <v>365</v>
      </c>
      <c r="AO244" s="28">
        <f t="shared" si="79"/>
        <v>0</v>
      </c>
      <c r="AP244" s="28"/>
      <c r="AQ244" s="28">
        <f t="shared" si="80"/>
        <v>365</v>
      </c>
      <c r="AR244" s="215" t="str">
        <f t="shared" si="58"/>
        <v>Hagarová Natália</v>
      </c>
      <c r="AS244" s="215">
        <f t="shared" si="68"/>
        <v>1998</v>
      </c>
      <c r="AT244" s="215" t="str">
        <f t="shared" si="69"/>
        <v>Fándlyho</v>
      </c>
      <c r="AU244">
        <f t="shared" si="59"/>
        <v>2</v>
      </c>
      <c r="AW244" s="77">
        <f t="shared" si="70"/>
        <v>35999</v>
      </c>
      <c r="BQ244" s="14" t="s">
        <v>245</v>
      </c>
      <c r="BR244" s="14">
        <f t="shared" si="60"/>
      </c>
      <c r="BS244" s="14">
        <v>1900</v>
      </c>
      <c r="BT244" s="14">
        <v>0</v>
      </c>
    </row>
    <row r="245" spans="1:72" ht="15.75">
      <c r="A245" s="79">
        <f t="shared" si="81"/>
        <v>3</v>
      </c>
      <c r="B245" s="152">
        <f t="shared" si="76"/>
        <v>526</v>
      </c>
      <c r="C245" s="81">
        <f t="shared" si="77"/>
        <v>314.8</v>
      </c>
      <c r="D245" s="99" t="s">
        <v>10</v>
      </c>
      <c r="E245" s="109">
        <v>36348</v>
      </c>
      <c r="F245" s="164" t="s">
        <v>0</v>
      </c>
      <c r="G245" s="86">
        <v>65</v>
      </c>
      <c r="H245" s="82">
        <v>65</v>
      </c>
      <c r="I245" s="87">
        <f>65+50+32+50</f>
        <v>197</v>
      </c>
      <c r="J245" s="88"/>
      <c r="K245" s="89"/>
      <c r="L245" s="90">
        <f>1+2+20+2+32+1</f>
        <v>58</v>
      </c>
      <c r="M245" s="91"/>
      <c r="N245" s="91"/>
      <c r="O245" s="91">
        <f>1+1+2+32+2+20</f>
        <v>58</v>
      </c>
      <c r="P245" s="91"/>
      <c r="Q245" s="91">
        <f>2+50+2+20+2+50+2+20</f>
        <v>148</v>
      </c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3"/>
      <c r="AK245" s="93"/>
      <c r="AL245" s="94"/>
      <c r="AM245" s="194"/>
      <c r="AN245" s="95">
        <f t="shared" si="78"/>
        <v>526</v>
      </c>
      <c r="AO245" s="28">
        <f t="shared" si="79"/>
        <v>264</v>
      </c>
      <c r="AP245" s="28"/>
      <c r="AQ245" s="28">
        <f t="shared" si="80"/>
        <v>314.8</v>
      </c>
      <c r="AR245" s="215" t="str">
        <f t="shared" si="58"/>
        <v>Belianska Sarah</v>
      </c>
      <c r="AS245" s="215">
        <f aca="true" t="shared" si="82" ref="AS245:AS262">YEAR(AW245)</f>
        <v>1999</v>
      </c>
      <c r="AT245" s="215" t="str">
        <f aca="true" t="shared" si="83" ref="AT245:AT262">F245</f>
        <v>Bielenisko</v>
      </c>
      <c r="AU245">
        <f t="shared" si="59"/>
        <v>3</v>
      </c>
      <c r="AW245" s="77">
        <f aca="true" t="shared" si="84" ref="AW245:AW262">E245</f>
        <v>36348</v>
      </c>
      <c r="BQ245" s="14" t="s">
        <v>245</v>
      </c>
      <c r="BR245" s="14">
        <f t="shared" si="60"/>
      </c>
      <c r="BS245" s="14">
        <v>1900</v>
      </c>
      <c r="BT245" s="14">
        <v>0</v>
      </c>
    </row>
    <row r="246" spans="1:72" ht="15.75">
      <c r="A246" s="79">
        <f t="shared" si="81"/>
        <v>4</v>
      </c>
      <c r="B246" s="152">
        <f t="shared" si="76"/>
        <v>294</v>
      </c>
      <c r="C246" s="81">
        <f t="shared" si="77"/>
        <v>294</v>
      </c>
      <c r="D246" s="83" t="s">
        <v>69</v>
      </c>
      <c r="E246" s="109">
        <v>36103</v>
      </c>
      <c r="F246" s="164" t="s">
        <v>126</v>
      </c>
      <c r="G246" s="86">
        <v>65</v>
      </c>
      <c r="H246" s="82">
        <v>65</v>
      </c>
      <c r="I246" s="87">
        <f>65+32+50+50+32</f>
        <v>229</v>
      </c>
      <c r="J246" s="88"/>
      <c r="K246" s="89"/>
      <c r="L246" s="90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3"/>
      <c r="AK246" s="93"/>
      <c r="AL246" s="94"/>
      <c r="AM246" s="194"/>
      <c r="AN246" s="95">
        <f t="shared" si="78"/>
        <v>294</v>
      </c>
      <c r="AO246" s="28">
        <f t="shared" si="79"/>
        <v>0</v>
      </c>
      <c r="AP246" s="28"/>
      <c r="AQ246" s="28">
        <f t="shared" si="80"/>
        <v>294</v>
      </c>
      <c r="AR246" s="215" t="str">
        <f t="shared" si="58"/>
        <v>Jalovecká Alexandra</v>
      </c>
      <c r="AS246" s="215">
        <f t="shared" si="82"/>
        <v>1998</v>
      </c>
      <c r="AT246" s="215" t="str">
        <f t="shared" si="83"/>
        <v>Gymnázium</v>
      </c>
      <c r="AU246">
        <f t="shared" si="59"/>
        <v>4</v>
      </c>
      <c r="AW246" s="77">
        <f t="shared" si="84"/>
        <v>36103</v>
      </c>
      <c r="BQ246" s="14" t="s">
        <v>245</v>
      </c>
      <c r="BR246" s="14">
        <f t="shared" si="60"/>
      </c>
      <c r="BS246" s="14">
        <v>1900</v>
      </c>
      <c r="BT246" s="14">
        <v>0</v>
      </c>
    </row>
    <row r="247" spans="1:72" ht="15.75">
      <c r="A247" s="79">
        <f t="shared" si="81"/>
        <v>5</v>
      </c>
      <c r="B247" s="152"/>
      <c r="C247" s="81">
        <f t="shared" si="77"/>
        <v>231.6</v>
      </c>
      <c r="D247" s="83" t="s">
        <v>13</v>
      </c>
      <c r="E247" s="109">
        <v>36152</v>
      </c>
      <c r="F247" s="164" t="s">
        <v>0</v>
      </c>
      <c r="G247" s="86">
        <v>50</v>
      </c>
      <c r="H247" s="82">
        <v>50</v>
      </c>
      <c r="I247" s="87">
        <f>50+50+32</f>
        <v>132</v>
      </c>
      <c r="J247" s="88"/>
      <c r="K247" s="89"/>
      <c r="L247" s="90">
        <f>2+32+1+2+32+2+14</f>
        <v>85</v>
      </c>
      <c r="M247" s="91"/>
      <c r="N247" s="91"/>
      <c r="O247" s="91">
        <f>1+2+32+2+65+2+32+1+1</f>
        <v>138</v>
      </c>
      <c r="P247" s="91"/>
      <c r="Q247" s="91">
        <f>3+2+20</f>
        <v>25</v>
      </c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3"/>
      <c r="AK247" s="93"/>
      <c r="AL247" s="94"/>
      <c r="AM247" s="194"/>
      <c r="AN247" s="95">
        <f t="shared" si="78"/>
        <v>430</v>
      </c>
      <c r="AO247" s="28">
        <f t="shared" si="79"/>
        <v>248</v>
      </c>
      <c r="AP247" s="28"/>
      <c r="AQ247" s="28">
        <f t="shared" si="80"/>
        <v>231.6</v>
      </c>
      <c r="AR247" s="215" t="str">
        <f t="shared" si="58"/>
        <v>Bernátová Michaela</v>
      </c>
      <c r="AS247" s="215">
        <f t="shared" si="82"/>
        <v>1998</v>
      </c>
      <c r="AT247" s="215" t="str">
        <f t="shared" si="83"/>
        <v>Bielenisko</v>
      </c>
      <c r="AU247">
        <f t="shared" si="59"/>
        <v>5</v>
      </c>
      <c r="AW247" s="77">
        <f t="shared" si="84"/>
        <v>36152</v>
      </c>
      <c r="BQ247" s="14" t="s">
        <v>245</v>
      </c>
      <c r="BR247" s="14">
        <f t="shared" si="60"/>
      </c>
      <c r="BS247" s="14">
        <v>1900</v>
      </c>
      <c r="BT247" s="14">
        <v>0</v>
      </c>
    </row>
    <row r="248" spans="1:72" ht="15.75">
      <c r="A248" s="79">
        <f t="shared" si="81"/>
        <v>6</v>
      </c>
      <c r="B248" s="152"/>
      <c r="C248" s="81">
        <f t="shared" si="77"/>
        <v>174.4</v>
      </c>
      <c r="D248" s="99" t="s">
        <v>103</v>
      </c>
      <c r="E248" s="109">
        <v>36305</v>
      </c>
      <c r="F248" s="164" t="s">
        <v>87</v>
      </c>
      <c r="G248" s="86">
        <v>32</v>
      </c>
      <c r="H248" s="82">
        <v>32</v>
      </c>
      <c r="I248" s="87">
        <f>50+26+32</f>
        <v>108</v>
      </c>
      <c r="J248" s="88"/>
      <c r="K248" s="89"/>
      <c r="L248" s="90">
        <f>2+32+2+50+2+32+2+50</f>
        <v>172</v>
      </c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3"/>
      <c r="AK248" s="93"/>
      <c r="AL248" s="94"/>
      <c r="AM248" s="194"/>
      <c r="AN248" s="95">
        <f t="shared" si="78"/>
        <v>312</v>
      </c>
      <c r="AO248" s="28">
        <f t="shared" si="79"/>
        <v>172</v>
      </c>
      <c r="AP248" s="28"/>
      <c r="AQ248" s="28">
        <f t="shared" si="80"/>
        <v>174.4</v>
      </c>
      <c r="AR248" s="215" t="str">
        <f t="shared" si="58"/>
        <v>Trochtová Mária</v>
      </c>
      <c r="AS248" s="215">
        <f t="shared" si="82"/>
        <v>1999</v>
      </c>
      <c r="AT248" s="215" t="str">
        <f t="shared" si="83"/>
        <v>Kupeckého</v>
      </c>
      <c r="AU248">
        <f t="shared" si="59"/>
        <v>6</v>
      </c>
      <c r="AW248" s="77">
        <f t="shared" si="84"/>
        <v>36305</v>
      </c>
      <c r="BQ248" s="14" t="s">
        <v>245</v>
      </c>
      <c r="BR248" s="14">
        <f t="shared" si="60"/>
      </c>
      <c r="BS248" s="14">
        <v>1900</v>
      </c>
      <c r="BT248" s="14">
        <v>0</v>
      </c>
    </row>
    <row r="249" spans="1:72" ht="15.75">
      <c r="A249" s="79">
        <f t="shared" si="81"/>
        <v>7</v>
      </c>
      <c r="B249" s="152"/>
      <c r="C249" s="81">
        <f t="shared" si="77"/>
        <v>151.4</v>
      </c>
      <c r="D249" s="83" t="s">
        <v>75</v>
      </c>
      <c r="E249" s="109">
        <v>35878</v>
      </c>
      <c r="F249" s="164" t="s">
        <v>55</v>
      </c>
      <c r="G249" s="86">
        <v>32</v>
      </c>
      <c r="H249" s="82">
        <v>32</v>
      </c>
      <c r="I249" s="87">
        <f>50+50</f>
        <v>100</v>
      </c>
      <c r="J249" s="88"/>
      <c r="K249" s="89"/>
      <c r="L249" s="90">
        <f>2+32+2+32+1+2+26+0</f>
        <v>97</v>
      </c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3"/>
      <c r="AK249" s="93"/>
      <c r="AL249" s="94"/>
      <c r="AM249" s="194"/>
      <c r="AN249" s="95">
        <f t="shared" si="78"/>
        <v>229</v>
      </c>
      <c r="AO249" s="28">
        <f t="shared" si="79"/>
        <v>97</v>
      </c>
      <c r="AP249" s="28"/>
      <c r="AQ249" s="28">
        <f t="shared" si="80"/>
        <v>151.4</v>
      </c>
      <c r="AR249" s="215" t="str">
        <f t="shared" si="58"/>
        <v>Kanková Martina</v>
      </c>
      <c r="AS249" s="215">
        <f t="shared" si="82"/>
        <v>1998</v>
      </c>
      <c r="AT249" s="215" t="str">
        <f t="shared" si="83"/>
        <v>Fándlyho</v>
      </c>
      <c r="AU249">
        <f t="shared" si="59"/>
        <v>7</v>
      </c>
      <c r="AW249" s="77">
        <f t="shared" si="84"/>
        <v>35878</v>
      </c>
      <c r="BQ249" s="14" t="s">
        <v>246</v>
      </c>
      <c r="BR249" s="14" t="str">
        <f t="shared" si="60"/>
        <v>Priezvisko Meno</v>
      </c>
      <c r="BS249" s="14" t="e">
        <v>#VALUE!</v>
      </c>
      <c r="BT249" s="14" t="s">
        <v>142</v>
      </c>
    </row>
    <row r="250" spans="1:73" ht="15.75">
      <c r="A250" s="79">
        <f t="shared" si="81"/>
        <v>8</v>
      </c>
      <c r="B250" s="152"/>
      <c r="C250" s="81">
        <f t="shared" si="77"/>
        <v>138.8</v>
      </c>
      <c r="D250" s="83" t="s">
        <v>73</v>
      </c>
      <c r="E250" s="109">
        <v>35914</v>
      </c>
      <c r="F250" s="164" t="s">
        <v>55</v>
      </c>
      <c r="G250" s="86">
        <v>50</v>
      </c>
      <c r="H250" s="82">
        <v>50</v>
      </c>
      <c r="I250" s="87">
        <f>50+26</f>
        <v>76</v>
      </c>
      <c r="J250" s="88"/>
      <c r="K250" s="89"/>
      <c r="L250" s="90">
        <f>1+2+32+2+26+1</f>
        <v>64</v>
      </c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3"/>
      <c r="AK250" s="93"/>
      <c r="AL250" s="94"/>
      <c r="AM250" s="194"/>
      <c r="AN250" s="95">
        <f t="shared" si="78"/>
        <v>190</v>
      </c>
      <c r="AO250" s="28">
        <f t="shared" si="79"/>
        <v>64</v>
      </c>
      <c r="AP250" s="28"/>
      <c r="AQ250" s="28">
        <f t="shared" si="80"/>
        <v>138.8</v>
      </c>
      <c r="AR250" s="215" t="str">
        <f t="shared" si="58"/>
        <v>Nagyová Veronika</v>
      </c>
      <c r="AS250" s="215">
        <f t="shared" si="82"/>
        <v>1998</v>
      </c>
      <c r="AT250" s="215" t="str">
        <f t="shared" si="83"/>
        <v>Fándlyho</v>
      </c>
      <c r="AU250">
        <f t="shared" si="59"/>
        <v>8</v>
      </c>
      <c r="AW250" s="77">
        <f t="shared" si="84"/>
        <v>35914</v>
      </c>
      <c r="BQ250" s="14" t="s">
        <v>68</v>
      </c>
      <c r="BR250" s="14" t="str">
        <f t="shared" si="60"/>
        <v>Cviková Valentína</v>
      </c>
      <c r="BS250" s="14">
        <v>1998</v>
      </c>
      <c r="BT250" s="14" t="s">
        <v>55</v>
      </c>
      <c r="BU250" s="1">
        <v>1</v>
      </c>
    </row>
    <row r="251" spans="1:73" ht="15.75">
      <c r="A251" s="79">
        <f t="shared" si="81"/>
        <v>9</v>
      </c>
      <c r="B251" s="152"/>
      <c r="C251" s="81">
        <f t="shared" si="77"/>
        <v>114</v>
      </c>
      <c r="D251" s="99" t="s">
        <v>72</v>
      </c>
      <c r="E251" s="109">
        <v>35985</v>
      </c>
      <c r="F251" s="164" t="s">
        <v>55</v>
      </c>
      <c r="G251" s="86">
        <v>50</v>
      </c>
      <c r="H251" s="82">
        <v>50</v>
      </c>
      <c r="I251" s="87">
        <f>32+32</f>
        <v>64</v>
      </c>
      <c r="J251" s="88"/>
      <c r="K251" s="89"/>
      <c r="L251" s="90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3"/>
      <c r="AK251" s="93"/>
      <c r="AL251" s="94"/>
      <c r="AM251" s="194"/>
      <c r="AN251" s="95">
        <f t="shared" si="78"/>
        <v>114</v>
      </c>
      <c r="AO251" s="28">
        <f t="shared" si="79"/>
        <v>0</v>
      </c>
      <c r="AP251" s="28"/>
      <c r="AQ251" s="28">
        <f t="shared" si="80"/>
        <v>114</v>
      </c>
      <c r="AR251" s="215" t="str">
        <f t="shared" si="58"/>
        <v>Čapuchová Alexandra</v>
      </c>
      <c r="AS251" s="215">
        <f t="shared" si="82"/>
        <v>1998</v>
      </c>
      <c r="AT251" s="215" t="str">
        <f t="shared" si="83"/>
        <v>Fándlyho</v>
      </c>
      <c r="AU251">
        <f t="shared" si="59"/>
        <v>9</v>
      </c>
      <c r="AW251" s="77">
        <f t="shared" si="84"/>
        <v>35985</v>
      </c>
      <c r="BQ251" s="14" t="s">
        <v>70</v>
      </c>
      <c r="BR251" s="14" t="str">
        <f t="shared" si="60"/>
        <v>Hagarová Natália</v>
      </c>
      <c r="BS251" s="14">
        <v>1998</v>
      </c>
      <c r="BT251" s="14" t="s">
        <v>55</v>
      </c>
      <c r="BU251" s="1">
        <v>2</v>
      </c>
    </row>
    <row r="252" spans="1:73" ht="15.75">
      <c r="A252" s="79">
        <f t="shared" si="81"/>
        <v>10</v>
      </c>
      <c r="B252" s="152"/>
      <c r="C252" s="81">
        <f t="shared" si="77"/>
        <v>90.8</v>
      </c>
      <c r="D252" s="83" t="s">
        <v>74</v>
      </c>
      <c r="E252" s="109">
        <v>35982</v>
      </c>
      <c r="F252" s="164" t="s">
        <v>55</v>
      </c>
      <c r="G252" s="86">
        <v>32</v>
      </c>
      <c r="H252" s="82">
        <v>32</v>
      </c>
      <c r="I252" s="87">
        <f>32+26</f>
        <v>58</v>
      </c>
      <c r="J252" s="88"/>
      <c r="K252" s="89"/>
      <c r="L252" s="90">
        <f>1+1+1+1</f>
        <v>4</v>
      </c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3"/>
      <c r="AK252" s="93"/>
      <c r="AL252" s="94"/>
      <c r="AM252" s="194"/>
      <c r="AN252" s="95">
        <f t="shared" si="78"/>
        <v>94</v>
      </c>
      <c r="AO252" s="28">
        <f t="shared" si="79"/>
        <v>4</v>
      </c>
      <c r="AP252" s="28"/>
      <c r="AQ252" s="28">
        <f t="shared" si="80"/>
        <v>90.8</v>
      </c>
      <c r="AR252" s="215" t="str">
        <f t="shared" si="58"/>
        <v>Ifčicová Adela</v>
      </c>
      <c r="AS252" s="215">
        <f t="shared" si="82"/>
        <v>1998</v>
      </c>
      <c r="AT252" s="215" t="str">
        <f t="shared" si="83"/>
        <v>Fándlyho</v>
      </c>
      <c r="AU252">
        <f t="shared" si="59"/>
        <v>10</v>
      </c>
      <c r="AW252" s="77">
        <f t="shared" si="84"/>
        <v>35982</v>
      </c>
      <c r="BQ252" s="14" t="s">
        <v>134</v>
      </c>
      <c r="BR252" s="14" t="str">
        <f t="shared" si="60"/>
        <v>Belková Petra</v>
      </c>
      <c r="BS252" s="14">
        <v>1997</v>
      </c>
      <c r="BT252" s="14" t="s">
        <v>126</v>
      </c>
      <c r="BU252" s="1">
        <v>3</v>
      </c>
    </row>
    <row r="253" spans="1:73" ht="15.75">
      <c r="A253" s="79">
        <f t="shared" si="81"/>
        <v>11</v>
      </c>
      <c r="B253" s="152"/>
      <c r="C253" s="81">
        <f t="shared" si="77"/>
        <v>82</v>
      </c>
      <c r="D253" s="83" t="s">
        <v>100</v>
      </c>
      <c r="E253" s="109">
        <v>36486</v>
      </c>
      <c r="F253" s="164" t="s">
        <v>87</v>
      </c>
      <c r="G253" s="86">
        <v>50</v>
      </c>
      <c r="H253" s="82">
        <v>50</v>
      </c>
      <c r="I253" s="87">
        <f>32+0</f>
        <v>32</v>
      </c>
      <c r="J253" s="88"/>
      <c r="K253" s="89"/>
      <c r="L253" s="90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3"/>
      <c r="AK253" s="93"/>
      <c r="AL253" s="94"/>
      <c r="AM253" s="194"/>
      <c r="AN253" s="95">
        <f t="shared" si="78"/>
        <v>82</v>
      </c>
      <c r="AO253" s="28">
        <f t="shared" si="79"/>
        <v>0</v>
      </c>
      <c r="AP253" s="28"/>
      <c r="AQ253" s="28">
        <f t="shared" si="80"/>
        <v>82</v>
      </c>
      <c r="AR253" s="215" t="str">
        <f t="shared" si="58"/>
        <v>Kaderábeková Natália</v>
      </c>
      <c r="AS253" s="215">
        <f t="shared" si="82"/>
        <v>1999</v>
      </c>
      <c r="AT253" s="215" t="str">
        <f t="shared" si="83"/>
        <v>Kupeckého</v>
      </c>
      <c r="AU253">
        <f t="shared" si="59"/>
        <v>11</v>
      </c>
      <c r="AW253" s="77">
        <f t="shared" si="84"/>
        <v>36486</v>
      </c>
      <c r="BQ253" s="14" t="s">
        <v>69</v>
      </c>
      <c r="BR253" s="14" t="str">
        <f t="shared" si="60"/>
        <v>Jalovecká Alexandra</v>
      </c>
      <c r="BS253" s="14">
        <v>1998</v>
      </c>
      <c r="BT253" s="14" t="s">
        <v>55</v>
      </c>
      <c r="BU253" s="1">
        <v>4</v>
      </c>
    </row>
    <row r="254" spans="1:73" ht="15.75">
      <c r="A254" s="79">
        <f t="shared" si="81"/>
        <v>12</v>
      </c>
      <c r="B254" s="152"/>
      <c r="C254" s="81">
        <f t="shared" si="77"/>
        <v>75.6</v>
      </c>
      <c r="D254" s="83" t="s">
        <v>106</v>
      </c>
      <c r="E254" s="109">
        <v>36081</v>
      </c>
      <c r="F254" s="164" t="s">
        <v>87</v>
      </c>
      <c r="G254" s="86">
        <v>26</v>
      </c>
      <c r="H254" s="82">
        <v>26</v>
      </c>
      <c r="I254" s="87">
        <v>32</v>
      </c>
      <c r="J254" s="88"/>
      <c r="K254" s="89"/>
      <c r="L254" s="90">
        <f>2+50+2+32+1+1</f>
        <v>88</v>
      </c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3"/>
      <c r="AK254" s="93"/>
      <c r="AL254" s="94"/>
      <c r="AM254" s="194"/>
      <c r="AN254" s="95">
        <f t="shared" si="78"/>
        <v>146</v>
      </c>
      <c r="AO254" s="28">
        <f t="shared" si="79"/>
        <v>88</v>
      </c>
      <c r="AP254" s="28"/>
      <c r="AQ254" s="28">
        <f t="shared" si="80"/>
        <v>75.6</v>
      </c>
      <c r="AR254" s="215" t="str">
        <f t="shared" si="58"/>
        <v>Nogová Martina</v>
      </c>
      <c r="AS254" s="215">
        <f t="shared" si="82"/>
        <v>1998</v>
      </c>
      <c r="AT254" s="215" t="str">
        <f t="shared" si="83"/>
        <v>Kupeckého</v>
      </c>
      <c r="AU254">
        <f t="shared" si="59"/>
        <v>12</v>
      </c>
      <c r="AW254" s="77">
        <f t="shared" si="84"/>
        <v>36081</v>
      </c>
      <c r="BQ254" s="14" t="s">
        <v>13</v>
      </c>
      <c r="BR254" s="14" t="str">
        <f t="shared" si="60"/>
        <v>Bernátová Michaela</v>
      </c>
      <c r="BS254" s="14">
        <v>1998</v>
      </c>
      <c r="BT254" s="14" t="s">
        <v>0</v>
      </c>
      <c r="BU254" s="1">
        <v>5</v>
      </c>
    </row>
    <row r="255" spans="1:73" ht="15.75">
      <c r="A255" s="79">
        <f t="shared" si="81"/>
        <v>13</v>
      </c>
      <c r="B255" s="152"/>
      <c r="C255" s="81">
        <f t="shared" si="77"/>
        <v>65</v>
      </c>
      <c r="D255" s="83" t="s">
        <v>102</v>
      </c>
      <c r="E255" s="109">
        <v>36436</v>
      </c>
      <c r="F255" s="164" t="s">
        <v>87</v>
      </c>
      <c r="G255" s="86">
        <v>26</v>
      </c>
      <c r="H255" s="82">
        <v>26</v>
      </c>
      <c r="I255" s="87">
        <v>32</v>
      </c>
      <c r="J255" s="88"/>
      <c r="K255" s="89"/>
      <c r="L255" s="90">
        <f>1+2+32</f>
        <v>35</v>
      </c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3"/>
      <c r="AK255" s="93"/>
      <c r="AL255" s="94"/>
      <c r="AM255" s="194"/>
      <c r="AN255" s="95">
        <f t="shared" si="78"/>
        <v>93</v>
      </c>
      <c r="AO255" s="28">
        <f t="shared" si="79"/>
        <v>35</v>
      </c>
      <c r="AP255" s="28"/>
      <c r="AQ255" s="28">
        <f t="shared" si="80"/>
        <v>65</v>
      </c>
      <c r="AR255" s="215" t="str">
        <f t="shared" si="58"/>
        <v>Navrátilová Zuzana</v>
      </c>
      <c r="AS255" s="215">
        <f t="shared" si="82"/>
        <v>1999</v>
      </c>
      <c r="AT255" s="215" t="str">
        <f t="shared" si="83"/>
        <v>Kupeckého</v>
      </c>
      <c r="AU255">
        <f t="shared" si="59"/>
        <v>13</v>
      </c>
      <c r="AW255" s="77">
        <f t="shared" si="84"/>
        <v>36436</v>
      </c>
      <c r="BQ255" s="14" t="s">
        <v>72</v>
      </c>
      <c r="BR255" s="14" t="str">
        <f t="shared" si="60"/>
        <v>Čapuchová Alexandra</v>
      </c>
      <c r="BS255" s="14">
        <v>1998</v>
      </c>
      <c r="BT255" s="14" t="s">
        <v>55</v>
      </c>
      <c r="BU255" s="1">
        <v>6</v>
      </c>
    </row>
    <row r="256" spans="1:73" ht="15.75">
      <c r="A256" s="79">
        <f t="shared" si="81"/>
        <v>14</v>
      </c>
      <c r="B256" s="152"/>
      <c r="C256" s="81">
        <f t="shared" si="77"/>
        <v>64</v>
      </c>
      <c r="D256" s="83" t="s">
        <v>101</v>
      </c>
      <c r="E256" s="109">
        <v>36486</v>
      </c>
      <c r="F256" s="164" t="s">
        <v>87</v>
      </c>
      <c r="G256" s="86">
        <v>32</v>
      </c>
      <c r="H256" s="82">
        <v>32</v>
      </c>
      <c r="I256" s="87">
        <v>32</v>
      </c>
      <c r="J256" s="88"/>
      <c r="K256" s="89"/>
      <c r="L256" s="90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3"/>
      <c r="AK256" s="93"/>
      <c r="AL256" s="94"/>
      <c r="AM256" s="194"/>
      <c r="AN256" s="95">
        <f t="shared" si="78"/>
        <v>64</v>
      </c>
      <c r="AO256" s="28">
        <f t="shared" si="79"/>
        <v>0</v>
      </c>
      <c r="AP256" s="28"/>
      <c r="AQ256" s="28">
        <f t="shared" si="80"/>
        <v>64</v>
      </c>
      <c r="AR256" s="215" t="str">
        <f t="shared" si="58"/>
        <v>Kaderábeková Veronika</v>
      </c>
      <c r="AS256" s="215">
        <f t="shared" si="82"/>
        <v>1999</v>
      </c>
      <c r="AT256" s="215" t="str">
        <f t="shared" si="83"/>
        <v>Kupeckého</v>
      </c>
      <c r="AU256">
        <f t="shared" si="59"/>
        <v>14</v>
      </c>
      <c r="AW256" s="77">
        <f t="shared" si="84"/>
        <v>36486</v>
      </c>
      <c r="BQ256" s="14" t="s">
        <v>108</v>
      </c>
      <c r="BR256" s="14" t="str">
        <f t="shared" si="60"/>
        <v>Kevedžová Katarína</v>
      </c>
      <c r="BS256" s="14">
        <v>1997</v>
      </c>
      <c r="BT256" s="14" t="s">
        <v>87</v>
      </c>
      <c r="BU256" s="1">
        <v>7</v>
      </c>
    </row>
    <row r="257" spans="1:73" ht="15.75">
      <c r="A257" s="79">
        <f t="shared" si="81"/>
        <v>15</v>
      </c>
      <c r="B257" s="152">
        <f t="shared" si="76"/>
        <v>69</v>
      </c>
      <c r="C257" s="81">
        <f t="shared" si="77"/>
        <v>39.4</v>
      </c>
      <c r="D257" s="83" t="s">
        <v>105</v>
      </c>
      <c r="E257" s="109">
        <v>36131</v>
      </c>
      <c r="F257" s="164" t="s">
        <v>87</v>
      </c>
      <c r="G257" s="86">
        <v>32</v>
      </c>
      <c r="H257" s="82">
        <v>32</v>
      </c>
      <c r="I257" s="87"/>
      <c r="J257" s="88"/>
      <c r="K257" s="89"/>
      <c r="L257" s="90">
        <f>1+1+2+32+1</f>
        <v>37</v>
      </c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3"/>
      <c r="AK257" s="93"/>
      <c r="AL257" s="94"/>
      <c r="AM257" s="194"/>
      <c r="AN257" s="95">
        <f t="shared" si="78"/>
        <v>69</v>
      </c>
      <c r="AO257" s="28">
        <f t="shared" si="79"/>
        <v>37</v>
      </c>
      <c r="AP257" s="28"/>
      <c r="AQ257" s="28">
        <f t="shared" si="80"/>
        <v>39.4</v>
      </c>
      <c r="AR257" s="215" t="str">
        <f t="shared" si="58"/>
        <v>Herdová Viera</v>
      </c>
      <c r="AS257" s="215">
        <f t="shared" si="82"/>
        <v>1998</v>
      </c>
      <c r="AT257" s="215" t="str">
        <f t="shared" si="83"/>
        <v>Kupeckého</v>
      </c>
      <c r="AU257">
        <f t="shared" si="59"/>
        <v>15</v>
      </c>
      <c r="AW257" s="77">
        <f t="shared" si="84"/>
        <v>36131</v>
      </c>
      <c r="BQ257" s="14" t="s">
        <v>73</v>
      </c>
      <c r="BR257" s="14" t="str">
        <f t="shared" si="60"/>
        <v>Nagyová Veronika</v>
      </c>
      <c r="BS257" s="14">
        <v>1998</v>
      </c>
      <c r="BT257" s="14" t="s">
        <v>55</v>
      </c>
      <c r="BU257" s="1">
        <v>8</v>
      </c>
    </row>
    <row r="258" spans="1:73" ht="15.75">
      <c r="A258" s="79">
        <f t="shared" si="81"/>
        <v>16</v>
      </c>
      <c r="B258" s="152">
        <f t="shared" si="76"/>
        <v>34</v>
      </c>
      <c r="C258" s="81">
        <f t="shared" si="77"/>
        <v>32.4</v>
      </c>
      <c r="D258" s="99" t="s">
        <v>104</v>
      </c>
      <c r="E258" s="109">
        <v>36171</v>
      </c>
      <c r="F258" s="164" t="s">
        <v>87</v>
      </c>
      <c r="G258" s="86">
        <v>32</v>
      </c>
      <c r="H258" s="82">
        <v>32</v>
      </c>
      <c r="I258" s="87"/>
      <c r="J258" s="112"/>
      <c r="K258" s="89"/>
      <c r="L258" s="90">
        <f>1+1</f>
        <v>2</v>
      </c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3"/>
      <c r="AK258" s="93"/>
      <c r="AL258" s="94"/>
      <c r="AM258" s="194"/>
      <c r="AN258" s="95">
        <f t="shared" si="78"/>
        <v>34</v>
      </c>
      <c r="AO258" s="28">
        <f t="shared" si="79"/>
        <v>2</v>
      </c>
      <c r="AP258" s="28"/>
      <c r="AQ258" s="28">
        <f t="shared" si="80"/>
        <v>32.4</v>
      </c>
      <c r="AR258" s="215" t="str">
        <f t="shared" si="58"/>
        <v>Zubrová Michaela</v>
      </c>
      <c r="AS258" s="215">
        <f t="shared" si="82"/>
        <v>1999</v>
      </c>
      <c r="AT258" s="215" t="str">
        <f t="shared" si="83"/>
        <v>Kupeckého</v>
      </c>
      <c r="AU258">
        <f t="shared" si="59"/>
        <v>16</v>
      </c>
      <c r="AW258" s="77">
        <f t="shared" si="84"/>
        <v>36171</v>
      </c>
      <c r="BQ258" s="14" t="s">
        <v>325</v>
      </c>
      <c r="BR258" s="14" t="str">
        <f t="shared" si="60"/>
        <v>Gajdošová Romana</v>
      </c>
      <c r="BS258" s="14">
        <v>1997</v>
      </c>
      <c r="BT258" s="14" t="s">
        <v>87</v>
      </c>
      <c r="BU258" s="1">
        <v>9</v>
      </c>
    </row>
    <row r="259" spans="1:73" ht="15.75">
      <c r="A259" s="79">
        <f t="shared" si="81"/>
        <v>17</v>
      </c>
      <c r="B259" s="152"/>
      <c r="C259" s="81">
        <f t="shared" si="77"/>
        <v>32</v>
      </c>
      <c r="D259" s="83" t="s">
        <v>107</v>
      </c>
      <c r="E259" s="109">
        <v>36235</v>
      </c>
      <c r="F259" s="164" t="s">
        <v>87</v>
      </c>
      <c r="G259" s="86">
        <v>32</v>
      </c>
      <c r="H259" s="82">
        <v>32</v>
      </c>
      <c r="I259" s="87"/>
      <c r="J259" s="112"/>
      <c r="K259" s="89"/>
      <c r="L259" s="90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3"/>
      <c r="AK259" s="93"/>
      <c r="AL259" s="94"/>
      <c r="AM259" s="194"/>
      <c r="AN259" s="95">
        <f t="shared" si="78"/>
        <v>32</v>
      </c>
      <c r="AO259" s="28">
        <f t="shared" si="79"/>
        <v>0</v>
      </c>
      <c r="AP259" s="28"/>
      <c r="AQ259" s="28">
        <f t="shared" si="80"/>
        <v>32</v>
      </c>
      <c r="AR259" s="215" t="str">
        <f t="shared" si="58"/>
        <v>Galvánková Nikola</v>
      </c>
      <c r="AS259" s="215">
        <f t="shared" si="82"/>
        <v>1999</v>
      </c>
      <c r="AT259" s="215" t="str">
        <f t="shared" si="83"/>
        <v>Kupeckého</v>
      </c>
      <c r="AU259">
        <f t="shared" si="59"/>
        <v>17</v>
      </c>
      <c r="AW259" s="77">
        <f t="shared" si="84"/>
        <v>36235</v>
      </c>
      <c r="BQ259" s="14" t="s">
        <v>326</v>
      </c>
      <c r="BR259" s="14" t="str">
        <f t="shared" si="60"/>
        <v>Ďurišová Magdaléna</v>
      </c>
      <c r="BS259" s="14">
        <v>1997</v>
      </c>
      <c r="BT259" s="14" t="s">
        <v>0</v>
      </c>
      <c r="BU259" s="1">
        <v>10</v>
      </c>
    </row>
    <row r="260" spans="1:73" ht="15.75">
      <c r="A260" s="79">
        <f t="shared" si="81"/>
        <v>18</v>
      </c>
      <c r="B260" s="152"/>
      <c r="C260" s="81">
        <f t="shared" si="77"/>
        <v>0</v>
      </c>
      <c r="D260" s="83" t="s">
        <v>71</v>
      </c>
      <c r="E260" s="109">
        <v>36302</v>
      </c>
      <c r="F260" s="164" t="s">
        <v>55</v>
      </c>
      <c r="G260" s="86"/>
      <c r="H260" s="82"/>
      <c r="I260" s="87"/>
      <c r="J260" s="112"/>
      <c r="K260" s="89"/>
      <c r="L260" s="90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3"/>
      <c r="AK260" s="93"/>
      <c r="AL260" s="94"/>
      <c r="AM260" s="194"/>
      <c r="AN260" s="95">
        <f t="shared" si="78"/>
        <v>0</v>
      </c>
      <c r="AO260" s="28">
        <f t="shared" si="79"/>
        <v>0</v>
      </c>
      <c r="AP260" s="28"/>
      <c r="AQ260" s="28">
        <f t="shared" si="80"/>
        <v>0</v>
      </c>
      <c r="AR260" s="215" t="str">
        <f t="shared" si="58"/>
        <v>Reháková Nicol</v>
      </c>
      <c r="AS260" s="215">
        <f t="shared" si="82"/>
        <v>1999</v>
      </c>
      <c r="AT260" s="215" t="str">
        <f t="shared" si="83"/>
        <v>Fándlyho</v>
      </c>
      <c r="AU260">
        <f t="shared" si="59"/>
        <v>18</v>
      </c>
      <c r="AW260" s="77">
        <f t="shared" si="84"/>
        <v>36302</v>
      </c>
      <c r="BQ260" s="14" t="s">
        <v>75</v>
      </c>
      <c r="BR260" s="14" t="str">
        <f t="shared" si="60"/>
        <v>Kanková Martina</v>
      </c>
      <c r="BS260" s="14">
        <v>1900</v>
      </c>
      <c r="BT260" s="14" t="s">
        <v>55</v>
      </c>
      <c r="BU260" s="1">
        <v>11</v>
      </c>
    </row>
    <row r="261" spans="1:73" ht="15.75">
      <c r="A261" s="79">
        <f t="shared" si="81"/>
        <v>19</v>
      </c>
      <c r="B261" s="152"/>
      <c r="C261" s="81">
        <f>H261+I261+J261+AM261+AO261*$AO$1</f>
        <v>0</v>
      </c>
      <c r="D261" s="83"/>
      <c r="E261" s="109"/>
      <c r="F261" s="164"/>
      <c r="G261" s="86"/>
      <c r="H261" s="82"/>
      <c r="I261" s="87"/>
      <c r="J261" s="112"/>
      <c r="K261" s="89"/>
      <c r="L261" s="90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3"/>
      <c r="AK261" s="93"/>
      <c r="AL261" s="94"/>
      <c r="AM261" s="194"/>
      <c r="AN261" s="95">
        <f>SUM(H261:AM261)</f>
        <v>0</v>
      </c>
      <c r="AO261" s="28">
        <f>SUM(L261:AL261)</f>
        <v>0</v>
      </c>
      <c r="AP261" s="28"/>
      <c r="AQ261" s="28">
        <f>C261</f>
        <v>0</v>
      </c>
      <c r="AR261" s="215">
        <f t="shared" si="58"/>
        <v>0</v>
      </c>
      <c r="AS261" s="215">
        <f t="shared" si="82"/>
        <v>1900</v>
      </c>
      <c r="AT261" s="215">
        <f t="shared" si="83"/>
        <v>0</v>
      </c>
      <c r="AU261">
        <f t="shared" si="59"/>
        <v>19</v>
      </c>
      <c r="AW261" s="77">
        <f t="shared" si="84"/>
        <v>0</v>
      </c>
      <c r="BQ261" s="14" t="s">
        <v>327</v>
      </c>
      <c r="BR261" s="14" t="str">
        <f t="shared" si="60"/>
        <v>Beláčková Petra</v>
      </c>
      <c r="BS261" s="14">
        <v>1998</v>
      </c>
      <c r="BT261" s="14" t="s">
        <v>55</v>
      </c>
      <c r="BU261" s="1">
        <v>12</v>
      </c>
    </row>
    <row r="262" spans="1:73" ht="15.75">
      <c r="A262" s="79">
        <f t="shared" si="81"/>
        <v>20</v>
      </c>
      <c r="B262" s="152">
        <f t="shared" si="76"/>
        <v>0</v>
      </c>
      <c r="C262" s="81">
        <f>H262+I262+J262+AM262+AO262*$AO$1</f>
        <v>0</v>
      </c>
      <c r="D262" s="99"/>
      <c r="E262" s="109"/>
      <c r="F262" s="164"/>
      <c r="G262" s="86"/>
      <c r="H262" s="87"/>
      <c r="I262" s="87"/>
      <c r="J262" s="112"/>
      <c r="K262" s="89"/>
      <c r="L262" s="90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3"/>
      <c r="AK262" s="93"/>
      <c r="AL262" s="94"/>
      <c r="AM262" s="194"/>
      <c r="AN262" s="95">
        <f>SUM(H262:AM262)</f>
        <v>0</v>
      </c>
      <c r="AO262" s="28">
        <f>SUM(L262:AL262)</f>
        <v>0</v>
      </c>
      <c r="AP262" s="28"/>
      <c r="AQ262" s="28">
        <f>C262</f>
        <v>0</v>
      </c>
      <c r="AR262" s="215">
        <f t="shared" si="58"/>
        <v>0</v>
      </c>
      <c r="AS262" s="215">
        <f t="shared" si="82"/>
        <v>1900</v>
      </c>
      <c r="AT262" s="215">
        <f t="shared" si="83"/>
        <v>0</v>
      </c>
      <c r="AU262">
        <f t="shared" si="59"/>
        <v>20</v>
      </c>
      <c r="AW262" s="77">
        <f t="shared" si="84"/>
        <v>0</v>
      </c>
      <c r="BQ262" s="14" t="s">
        <v>328</v>
      </c>
      <c r="BR262" s="14" t="str">
        <f t="shared" si="60"/>
        <v>Kopáčiková Petra</v>
      </c>
      <c r="BS262" s="14">
        <v>1998</v>
      </c>
      <c r="BT262" s="14" t="s">
        <v>55</v>
      </c>
      <c r="BU262" s="1">
        <v>12</v>
      </c>
    </row>
    <row r="263" spans="1:73" ht="15.75">
      <c r="A263" s="79">
        <f t="shared" si="81"/>
        <v>21</v>
      </c>
      <c r="B263" s="152">
        <f t="shared" si="76"/>
        <v>0</v>
      </c>
      <c r="C263" s="81">
        <f aca="true" t="shared" si="85" ref="C263:C268">H263+I263+J263+AM263+AO263*$AO$1</f>
        <v>0</v>
      </c>
      <c r="D263" s="83"/>
      <c r="E263" s="109"/>
      <c r="F263" s="164"/>
      <c r="G263" s="86"/>
      <c r="H263" s="82"/>
      <c r="I263" s="87"/>
      <c r="J263" s="112"/>
      <c r="K263" s="89"/>
      <c r="L263" s="90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3"/>
      <c r="AK263" s="93"/>
      <c r="AL263" s="94"/>
      <c r="AM263" s="194"/>
      <c r="AN263" s="95">
        <f aca="true" t="shared" si="86" ref="AN263:AN268">SUM(H263:AM263)</f>
        <v>0</v>
      </c>
      <c r="AO263" s="28">
        <f aca="true" t="shared" si="87" ref="AO263:AO278">SUM(L263:AL263)</f>
        <v>0</v>
      </c>
      <c r="AP263" s="28"/>
      <c r="AQ263" s="28">
        <f aca="true" t="shared" si="88" ref="AQ263:AQ278">C263</f>
        <v>0</v>
      </c>
      <c r="AR263" s="215">
        <f aca="true" t="shared" si="89" ref="AR263:AR278">D263</f>
        <v>0</v>
      </c>
      <c r="AS263" s="215">
        <f t="shared" si="68"/>
        <v>1900</v>
      </c>
      <c r="AT263" s="215">
        <f t="shared" si="69"/>
        <v>0</v>
      </c>
      <c r="AU263">
        <f aca="true" t="shared" si="90" ref="AU263:AU278">A263</f>
        <v>21</v>
      </c>
      <c r="AW263" s="77">
        <f t="shared" si="70"/>
        <v>0</v>
      </c>
      <c r="BQ263" s="14" t="s">
        <v>329</v>
      </c>
      <c r="BR263" s="14" t="str">
        <f t="shared" si="60"/>
        <v>Ondrejkovičová Simona</v>
      </c>
      <c r="BS263" s="14">
        <v>1997</v>
      </c>
      <c r="BT263" s="14" t="s">
        <v>87</v>
      </c>
      <c r="BU263" s="1">
        <v>12</v>
      </c>
    </row>
    <row r="264" spans="1:73" ht="15.75">
      <c r="A264" s="79">
        <f t="shared" si="81"/>
        <v>22</v>
      </c>
      <c r="B264" s="152">
        <f t="shared" si="76"/>
        <v>0</v>
      </c>
      <c r="C264" s="81">
        <f t="shared" si="85"/>
        <v>0</v>
      </c>
      <c r="D264" s="83"/>
      <c r="E264" s="109"/>
      <c r="F264" s="164"/>
      <c r="G264" s="86"/>
      <c r="H264" s="82"/>
      <c r="I264" s="87"/>
      <c r="J264" s="112"/>
      <c r="K264" s="89"/>
      <c r="L264" s="90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3"/>
      <c r="AK264" s="93"/>
      <c r="AL264" s="94"/>
      <c r="AM264" s="194"/>
      <c r="AN264" s="95">
        <f t="shared" si="86"/>
        <v>0</v>
      </c>
      <c r="AO264" s="28">
        <f t="shared" si="87"/>
        <v>0</v>
      </c>
      <c r="AP264" s="28"/>
      <c r="AQ264" s="28">
        <f t="shared" si="88"/>
        <v>0</v>
      </c>
      <c r="AR264" s="215">
        <f t="shared" si="89"/>
        <v>0</v>
      </c>
      <c r="AS264" s="215">
        <f t="shared" si="68"/>
        <v>1900</v>
      </c>
      <c r="AT264" s="215">
        <f t="shared" si="69"/>
        <v>0</v>
      </c>
      <c r="AU264">
        <f t="shared" si="90"/>
        <v>22</v>
      </c>
      <c r="AW264" s="77">
        <f t="shared" si="70"/>
        <v>0</v>
      </c>
      <c r="BQ264" s="14" t="s">
        <v>330</v>
      </c>
      <c r="BR264" s="14" t="str">
        <f aca="true" t="shared" si="91" ref="BR264:BR318">TRIM(BQ264)</f>
        <v>Petrovičová Dominika</v>
      </c>
      <c r="BS264" s="14">
        <v>1998</v>
      </c>
      <c r="BT264" s="14" t="s">
        <v>55</v>
      </c>
      <c r="BU264" s="1">
        <v>12</v>
      </c>
    </row>
    <row r="265" spans="1:73" ht="15.75">
      <c r="A265" s="79">
        <f>A264+1</f>
        <v>23</v>
      </c>
      <c r="B265" s="152">
        <f t="shared" si="76"/>
        <v>0</v>
      </c>
      <c r="C265" s="81">
        <f t="shared" si="85"/>
        <v>0</v>
      </c>
      <c r="D265" s="83"/>
      <c r="E265" s="109"/>
      <c r="F265" s="164"/>
      <c r="G265" s="86"/>
      <c r="H265" s="82"/>
      <c r="I265" s="87"/>
      <c r="J265" s="112"/>
      <c r="K265" s="89"/>
      <c r="L265" s="90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3"/>
      <c r="AK265" s="93"/>
      <c r="AL265" s="94"/>
      <c r="AM265" s="194"/>
      <c r="AN265" s="95">
        <f t="shared" si="86"/>
        <v>0</v>
      </c>
      <c r="AO265" s="28">
        <f t="shared" si="87"/>
        <v>0</v>
      </c>
      <c r="AP265" s="28"/>
      <c r="AQ265" s="28">
        <f t="shared" si="88"/>
        <v>0</v>
      </c>
      <c r="AR265" s="215">
        <f t="shared" si="89"/>
        <v>0</v>
      </c>
      <c r="AS265" s="215">
        <f t="shared" si="68"/>
        <v>1900</v>
      </c>
      <c r="AT265" s="215">
        <f t="shared" si="69"/>
        <v>0</v>
      </c>
      <c r="AU265">
        <f t="shared" si="90"/>
        <v>23</v>
      </c>
      <c r="AW265" s="77">
        <f t="shared" si="70"/>
        <v>0</v>
      </c>
      <c r="BQ265" s="14" t="s">
        <v>245</v>
      </c>
      <c r="BR265" s="14">
        <f t="shared" si="91"/>
      </c>
      <c r="BS265" s="14">
        <v>1900</v>
      </c>
      <c r="BT265" s="14">
        <v>0</v>
      </c>
      <c r="BU265" s="1">
        <v>12</v>
      </c>
    </row>
    <row r="266" spans="1:73" ht="15.75">
      <c r="A266" s="79">
        <f t="shared" si="81"/>
        <v>24</v>
      </c>
      <c r="B266" s="152">
        <f t="shared" si="76"/>
        <v>0</v>
      </c>
      <c r="C266" s="81">
        <f t="shared" si="85"/>
        <v>0</v>
      </c>
      <c r="D266" s="83"/>
      <c r="E266" s="109"/>
      <c r="F266" s="164"/>
      <c r="G266" s="86"/>
      <c r="H266" s="82"/>
      <c r="I266" s="87"/>
      <c r="J266" s="112"/>
      <c r="K266" s="89"/>
      <c r="L266" s="90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3"/>
      <c r="AK266" s="93"/>
      <c r="AL266" s="94"/>
      <c r="AM266" s="194"/>
      <c r="AN266" s="95">
        <f t="shared" si="86"/>
        <v>0</v>
      </c>
      <c r="AO266" s="28">
        <f t="shared" si="87"/>
        <v>0</v>
      </c>
      <c r="AP266" s="28"/>
      <c r="AQ266" s="28">
        <f t="shared" si="88"/>
        <v>0</v>
      </c>
      <c r="AR266" s="215">
        <f t="shared" si="89"/>
        <v>0</v>
      </c>
      <c r="AS266" s="215">
        <f t="shared" si="68"/>
        <v>1900</v>
      </c>
      <c r="AT266" s="215">
        <f t="shared" si="69"/>
        <v>0</v>
      </c>
      <c r="AU266">
        <f t="shared" si="90"/>
        <v>24</v>
      </c>
      <c r="AW266" s="77">
        <f t="shared" si="70"/>
        <v>0</v>
      </c>
      <c r="BQ266" s="14" t="s">
        <v>245</v>
      </c>
      <c r="BR266" s="14">
        <f t="shared" si="91"/>
      </c>
      <c r="BS266" s="14">
        <v>1900</v>
      </c>
      <c r="BT266" s="14">
        <v>0</v>
      </c>
      <c r="BU266" s="1">
        <v>12</v>
      </c>
    </row>
    <row r="267" spans="1:73" ht="15.75">
      <c r="A267" s="79">
        <f t="shared" si="81"/>
        <v>25</v>
      </c>
      <c r="B267" s="152">
        <f t="shared" si="76"/>
        <v>0</v>
      </c>
      <c r="C267" s="81">
        <f t="shared" si="85"/>
        <v>0</v>
      </c>
      <c r="D267" s="83"/>
      <c r="E267" s="109"/>
      <c r="F267" s="164"/>
      <c r="G267" s="86"/>
      <c r="H267" s="82"/>
      <c r="I267" s="87"/>
      <c r="J267" s="112"/>
      <c r="K267" s="89"/>
      <c r="L267" s="90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3"/>
      <c r="AK267" s="93"/>
      <c r="AL267" s="94"/>
      <c r="AM267" s="194"/>
      <c r="AN267" s="95">
        <f t="shared" si="86"/>
        <v>0</v>
      </c>
      <c r="AO267" s="28">
        <f t="shared" si="87"/>
        <v>0</v>
      </c>
      <c r="AP267" s="28"/>
      <c r="AQ267" s="28">
        <f t="shared" si="88"/>
        <v>0</v>
      </c>
      <c r="AR267" s="215">
        <f t="shared" si="89"/>
        <v>0</v>
      </c>
      <c r="AS267" s="215">
        <f t="shared" si="68"/>
        <v>1900</v>
      </c>
      <c r="AT267" s="215">
        <f t="shared" si="69"/>
        <v>0</v>
      </c>
      <c r="AU267">
        <f t="shared" si="90"/>
        <v>25</v>
      </c>
      <c r="AW267" s="77">
        <f t="shared" si="70"/>
        <v>0</v>
      </c>
      <c r="BQ267" s="14" t="s">
        <v>245</v>
      </c>
      <c r="BR267" s="14">
        <f t="shared" si="91"/>
      </c>
      <c r="BS267" s="14">
        <v>1900</v>
      </c>
      <c r="BT267" s="14">
        <v>0</v>
      </c>
      <c r="BU267" s="1">
        <v>12</v>
      </c>
    </row>
    <row r="268" spans="1:70" ht="16.5" thickBot="1">
      <c r="A268" s="79">
        <f t="shared" si="81"/>
        <v>26</v>
      </c>
      <c r="B268" s="165">
        <f t="shared" si="76"/>
        <v>0</v>
      </c>
      <c r="C268" s="120">
        <f t="shared" si="85"/>
        <v>0</v>
      </c>
      <c r="D268" s="122"/>
      <c r="E268" s="166"/>
      <c r="F268" s="184"/>
      <c r="G268" s="125"/>
      <c r="H268" s="121"/>
      <c r="I268" s="185"/>
      <c r="J268" s="127"/>
      <c r="K268" s="128"/>
      <c r="L268" s="129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2"/>
      <c r="AK268" s="132"/>
      <c r="AL268" s="133"/>
      <c r="AM268" s="196"/>
      <c r="AN268" s="134">
        <f t="shared" si="86"/>
        <v>0</v>
      </c>
      <c r="AO268" s="28">
        <f t="shared" si="87"/>
        <v>0</v>
      </c>
      <c r="AP268" s="28"/>
      <c r="AQ268" s="28">
        <f t="shared" si="88"/>
        <v>0</v>
      </c>
      <c r="AR268" s="215">
        <f t="shared" si="89"/>
        <v>0</v>
      </c>
      <c r="AS268" s="215">
        <f t="shared" si="68"/>
        <v>1900</v>
      </c>
      <c r="AT268" s="215">
        <f t="shared" si="69"/>
        <v>0</v>
      </c>
      <c r="AU268">
        <f t="shared" si="90"/>
        <v>26</v>
      </c>
      <c r="AW268" s="77">
        <f t="shared" si="70"/>
        <v>0</v>
      </c>
      <c r="BR268" s="14">
        <f t="shared" si="91"/>
      </c>
    </row>
    <row r="269" spans="1:70" ht="15.75">
      <c r="A269" s="39"/>
      <c r="B269" s="37"/>
      <c r="C269" s="30"/>
      <c r="D269" s="14"/>
      <c r="E269" s="77"/>
      <c r="F269" s="14"/>
      <c r="G269" s="197"/>
      <c r="H269" s="198"/>
      <c r="I269" s="35"/>
      <c r="J269" s="198"/>
      <c r="K269" s="14"/>
      <c r="L269" s="199"/>
      <c r="M269" s="169"/>
      <c r="N269" s="199"/>
      <c r="O269" s="199"/>
      <c r="P269" s="199"/>
      <c r="Q269" s="199"/>
      <c r="R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14"/>
      <c r="AK269" s="14"/>
      <c r="AL269" s="14"/>
      <c r="AM269" s="14"/>
      <c r="AN269" s="28"/>
      <c r="AO269" s="28">
        <f t="shared" si="87"/>
        <v>0</v>
      </c>
      <c r="AP269" s="28"/>
      <c r="AQ269" s="28">
        <f t="shared" si="88"/>
        <v>0</v>
      </c>
      <c r="AR269" s="215">
        <f t="shared" si="89"/>
        <v>0</v>
      </c>
      <c r="AS269" s="215">
        <f t="shared" si="68"/>
        <v>1900</v>
      </c>
      <c r="AT269" s="215">
        <f t="shared" si="69"/>
        <v>0</v>
      </c>
      <c r="AU269">
        <f t="shared" si="90"/>
        <v>0</v>
      </c>
      <c r="AW269" s="77">
        <f t="shared" si="70"/>
        <v>0</v>
      </c>
      <c r="BR269" s="14">
        <f t="shared" si="91"/>
      </c>
    </row>
    <row r="270" spans="1:70" ht="15.75">
      <c r="A270" s="39"/>
      <c r="B270" s="37"/>
      <c r="C270" s="30"/>
      <c r="D270" s="30"/>
      <c r="E270" s="207"/>
      <c r="F270" s="208"/>
      <c r="G270" s="209"/>
      <c r="H270" s="210"/>
      <c r="I270" s="35"/>
      <c r="J270" s="198"/>
      <c r="K270" s="14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  <c r="Y270" s="199"/>
      <c r="Z270" s="199"/>
      <c r="AA270" s="199"/>
      <c r="AB270" s="199"/>
      <c r="AC270" s="199"/>
      <c r="AD270" s="199"/>
      <c r="AE270" s="199"/>
      <c r="AF270" s="199"/>
      <c r="AG270" s="199"/>
      <c r="AH270" s="199"/>
      <c r="AI270" s="199"/>
      <c r="AJ270" s="14"/>
      <c r="AK270" s="14"/>
      <c r="AL270" s="14"/>
      <c r="AM270" s="14"/>
      <c r="AN270" s="28"/>
      <c r="AO270" s="28">
        <f t="shared" si="87"/>
        <v>0</v>
      </c>
      <c r="AP270" s="28"/>
      <c r="AQ270" s="28">
        <f t="shared" si="88"/>
        <v>0</v>
      </c>
      <c r="AR270" s="215">
        <f t="shared" si="89"/>
        <v>0</v>
      </c>
      <c r="AS270" s="215">
        <f t="shared" si="68"/>
        <v>1900</v>
      </c>
      <c r="AT270" s="215">
        <f t="shared" si="69"/>
        <v>0</v>
      </c>
      <c r="AU270">
        <f t="shared" si="90"/>
        <v>0</v>
      </c>
      <c r="AW270" s="77">
        <f t="shared" si="70"/>
        <v>0</v>
      </c>
      <c r="BR270" s="14">
        <f t="shared" si="91"/>
      </c>
    </row>
    <row r="271" spans="1:70" ht="15.75">
      <c r="A271" s="39"/>
      <c r="B271" s="37"/>
      <c r="C271" s="30"/>
      <c r="D271" s="30"/>
      <c r="E271" s="207"/>
      <c r="F271" s="208"/>
      <c r="G271" s="209"/>
      <c r="H271" s="210"/>
      <c r="I271" s="35"/>
      <c r="J271" s="198"/>
      <c r="K271" s="14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99"/>
      <c r="AF271" s="199"/>
      <c r="AG271" s="199"/>
      <c r="AH271" s="199"/>
      <c r="AI271" s="199"/>
      <c r="AJ271" s="14"/>
      <c r="AK271" s="14"/>
      <c r="AL271" s="14"/>
      <c r="AM271" s="14"/>
      <c r="AN271" s="28"/>
      <c r="AO271" s="28">
        <f t="shared" si="87"/>
        <v>0</v>
      </c>
      <c r="AP271" s="28"/>
      <c r="AQ271" s="28">
        <f t="shared" si="88"/>
        <v>0</v>
      </c>
      <c r="AR271" s="215">
        <f t="shared" si="89"/>
        <v>0</v>
      </c>
      <c r="AS271" s="215">
        <f t="shared" si="68"/>
        <v>1900</v>
      </c>
      <c r="AT271" s="215">
        <f t="shared" si="69"/>
        <v>0</v>
      </c>
      <c r="AU271">
        <f t="shared" si="90"/>
        <v>0</v>
      </c>
      <c r="AW271" s="77">
        <f t="shared" si="70"/>
        <v>0</v>
      </c>
      <c r="BR271" s="14">
        <f t="shared" si="91"/>
      </c>
    </row>
    <row r="272" spans="1:70" ht="15.75">
      <c r="A272" s="39"/>
      <c r="B272" s="37"/>
      <c r="C272" s="30"/>
      <c r="D272" s="30"/>
      <c r="E272" s="207"/>
      <c r="F272" s="208"/>
      <c r="G272" s="209"/>
      <c r="H272" s="210"/>
      <c r="I272" s="35"/>
      <c r="J272" s="198"/>
      <c r="K272" s="14"/>
      <c r="L272" s="199"/>
      <c r="M272" s="199"/>
      <c r="N272" s="199"/>
      <c r="O272" s="199"/>
      <c r="P272" s="199"/>
      <c r="Q272" s="199"/>
      <c r="R272" s="199"/>
      <c r="S272" s="199"/>
      <c r="T272" s="199"/>
      <c r="U272" s="199"/>
      <c r="V272" s="199"/>
      <c r="W272" s="199"/>
      <c r="X272" s="199"/>
      <c r="Y272" s="199"/>
      <c r="Z272" s="199"/>
      <c r="AA272" s="199"/>
      <c r="AB272" s="199"/>
      <c r="AC272" s="199"/>
      <c r="AD272" s="199"/>
      <c r="AE272" s="199"/>
      <c r="AF272" s="199"/>
      <c r="AG272" s="199"/>
      <c r="AH272" s="199"/>
      <c r="AI272" s="199"/>
      <c r="AJ272" s="14"/>
      <c r="AK272" s="14"/>
      <c r="AL272" s="14"/>
      <c r="AM272" s="14"/>
      <c r="AN272" s="28"/>
      <c r="AO272" s="28">
        <f t="shared" si="87"/>
        <v>0</v>
      </c>
      <c r="AP272" s="28"/>
      <c r="AQ272" s="28">
        <f t="shared" si="88"/>
        <v>0</v>
      </c>
      <c r="AR272" s="215">
        <f t="shared" si="89"/>
        <v>0</v>
      </c>
      <c r="AS272" s="215">
        <f t="shared" si="68"/>
        <v>1900</v>
      </c>
      <c r="AT272" s="215">
        <f t="shared" si="69"/>
        <v>0</v>
      </c>
      <c r="AU272">
        <f t="shared" si="90"/>
        <v>0</v>
      </c>
      <c r="AW272" s="77">
        <f t="shared" si="70"/>
        <v>0</v>
      </c>
      <c r="BR272" s="14">
        <f t="shared" si="91"/>
      </c>
    </row>
    <row r="273" spans="1:70" ht="15.75">
      <c r="A273" s="39"/>
      <c r="B273" s="37"/>
      <c r="C273" s="30"/>
      <c r="D273" s="30"/>
      <c r="E273" s="207"/>
      <c r="F273" s="208"/>
      <c r="G273" s="209"/>
      <c r="H273" s="210"/>
      <c r="I273" s="35"/>
      <c r="J273" s="198"/>
      <c r="K273" s="14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199"/>
      <c r="AB273" s="199"/>
      <c r="AC273" s="199"/>
      <c r="AD273" s="199"/>
      <c r="AE273" s="199"/>
      <c r="AF273" s="199"/>
      <c r="AG273" s="199"/>
      <c r="AH273" s="199"/>
      <c r="AI273" s="199"/>
      <c r="AJ273" s="14"/>
      <c r="AK273" s="14"/>
      <c r="AL273" s="14"/>
      <c r="AM273" s="14"/>
      <c r="AN273" s="28"/>
      <c r="AO273" s="28">
        <f t="shared" si="87"/>
        <v>0</v>
      </c>
      <c r="AP273" s="28"/>
      <c r="AQ273" s="28">
        <f t="shared" si="88"/>
        <v>0</v>
      </c>
      <c r="AR273" s="215">
        <f t="shared" si="89"/>
        <v>0</v>
      </c>
      <c r="AS273" s="215">
        <f t="shared" si="68"/>
        <v>1900</v>
      </c>
      <c r="AT273" s="215">
        <f t="shared" si="69"/>
        <v>0</v>
      </c>
      <c r="AU273">
        <f t="shared" si="90"/>
        <v>0</v>
      </c>
      <c r="AW273" s="77">
        <f t="shared" si="70"/>
        <v>0</v>
      </c>
      <c r="BR273" s="14">
        <f t="shared" si="91"/>
      </c>
    </row>
    <row r="274" spans="1:70" ht="15.75">
      <c r="A274" s="39"/>
      <c r="B274" s="37"/>
      <c r="C274" s="30"/>
      <c r="D274" s="211"/>
      <c r="E274" s="212"/>
      <c r="F274" s="211"/>
      <c r="G274" s="209"/>
      <c r="H274" s="198"/>
      <c r="I274" s="35"/>
      <c r="J274" s="198"/>
      <c r="K274" s="14"/>
      <c r="L274" s="199"/>
      <c r="M274" s="16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  <c r="Z274" s="199"/>
      <c r="AA274" s="199"/>
      <c r="AB274" s="199"/>
      <c r="AC274" s="199"/>
      <c r="AD274" s="199"/>
      <c r="AE274" s="199"/>
      <c r="AF274" s="199"/>
      <c r="AG274" s="199"/>
      <c r="AH274" s="199"/>
      <c r="AI274" s="199"/>
      <c r="AJ274" s="14"/>
      <c r="AK274" s="14"/>
      <c r="AL274" s="14"/>
      <c r="AM274" s="14"/>
      <c r="AN274" s="28"/>
      <c r="AO274" s="28">
        <f t="shared" si="87"/>
        <v>0</v>
      </c>
      <c r="AP274" s="28"/>
      <c r="AQ274" s="28">
        <f t="shared" si="88"/>
        <v>0</v>
      </c>
      <c r="AR274" s="215">
        <f t="shared" si="89"/>
        <v>0</v>
      </c>
      <c r="AS274" s="215">
        <f t="shared" si="68"/>
        <v>1900</v>
      </c>
      <c r="AT274" s="215">
        <f t="shared" si="69"/>
        <v>0</v>
      </c>
      <c r="AU274">
        <f t="shared" si="90"/>
        <v>0</v>
      </c>
      <c r="AW274" s="77">
        <f t="shared" si="70"/>
        <v>0</v>
      </c>
      <c r="BR274" s="14">
        <f t="shared" si="91"/>
      </c>
    </row>
    <row r="275" spans="1:70" ht="15.75">
      <c r="A275" s="39"/>
      <c r="B275" s="37"/>
      <c r="C275" s="30"/>
      <c r="D275" s="14"/>
      <c r="E275" s="77"/>
      <c r="F275" s="28"/>
      <c r="G275" s="197"/>
      <c r="H275" s="198"/>
      <c r="I275" s="35"/>
      <c r="J275" s="198"/>
      <c r="K275" s="14"/>
      <c r="L275" s="199"/>
      <c r="M275" s="199"/>
      <c r="N275" s="199"/>
      <c r="O275" s="199"/>
      <c r="P275" s="199"/>
      <c r="Q275" s="199"/>
      <c r="R275" s="199"/>
      <c r="S275" s="199"/>
      <c r="T275" s="199"/>
      <c r="U275" s="199"/>
      <c r="V275" s="199"/>
      <c r="W275" s="199"/>
      <c r="X275" s="199"/>
      <c r="Y275" s="199"/>
      <c r="Z275" s="199"/>
      <c r="AA275" s="199"/>
      <c r="AB275" s="199"/>
      <c r="AC275" s="199"/>
      <c r="AD275" s="199"/>
      <c r="AE275" s="199"/>
      <c r="AF275" s="199"/>
      <c r="AG275" s="199"/>
      <c r="AH275" s="199"/>
      <c r="AI275" s="199"/>
      <c r="AJ275" s="14"/>
      <c r="AK275" s="14"/>
      <c r="AL275" s="14"/>
      <c r="AM275" s="14"/>
      <c r="AN275" s="28"/>
      <c r="AO275" s="28">
        <f t="shared" si="87"/>
        <v>0</v>
      </c>
      <c r="AP275" s="28"/>
      <c r="AQ275" s="28">
        <f t="shared" si="88"/>
        <v>0</v>
      </c>
      <c r="AR275" s="215">
        <f t="shared" si="89"/>
        <v>0</v>
      </c>
      <c r="AS275" s="215">
        <f t="shared" si="68"/>
        <v>1900</v>
      </c>
      <c r="AT275" s="215">
        <f t="shared" si="69"/>
        <v>0</v>
      </c>
      <c r="AU275">
        <f t="shared" si="90"/>
        <v>0</v>
      </c>
      <c r="AW275" s="77">
        <f t="shared" si="70"/>
        <v>0</v>
      </c>
      <c r="BR275" s="14">
        <f t="shared" si="91"/>
      </c>
    </row>
    <row r="276" spans="1:70" ht="15.75">
      <c r="A276" s="39"/>
      <c r="B276" s="37"/>
      <c r="C276" s="30"/>
      <c r="D276" s="14"/>
      <c r="E276" s="77"/>
      <c r="F276" s="28"/>
      <c r="G276" s="197"/>
      <c r="H276" s="198"/>
      <c r="I276" s="35"/>
      <c r="J276" s="198"/>
      <c r="K276" s="14"/>
      <c r="L276" s="199"/>
      <c r="M276" s="199"/>
      <c r="N276" s="199"/>
      <c r="O276" s="199"/>
      <c r="P276" s="199"/>
      <c r="Q276" s="199"/>
      <c r="R276" s="199"/>
      <c r="S276" s="199"/>
      <c r="T276" s="199"/>
      <c r="U276" s="199"/>
      <c r="V276" s="199"/>
      <c r="W276" s="199"/>
      <c r="X276" s="199"/>
      <c r="Y276" s="199"/>
      <c r="Z276" s="199"/>
      <c r="AA276" s="199"/>
      <c r="AB276" s="199"/>
      <c r="AC276" s="199"/>
      <c r="AD276" s="199"/>
      <c r="AE276" s="199"/>
      <c r="AF276" s="199"/>
      <c r="AG276" s="199"/>
      <c r="AH276" s="199"/>
      <c r="AI276" s="199"/>
      <c r="AJ276" s="14"/>
      <c r="AK276" s="14"/>
      <c r="AL276" s="14"/>
      <c r="AM276" s="14"/>
      <c r="AN276" s="28"/>
      <c r="AO276" s="28">
        <f t="shared" si="87"/>
        <v>0</v>
      </c>
      <c r="AP276" s="28"/>
      <c r="AQ276" s="28">
        <f t="shared" si="88"/>
        <v>0</v>
      </c>
      <c r="AR276" s="215">
        <f t="shared" si="89"/>
        <v>0</v>
      </c>
      <c r="AS276" s="215">
        <f t="shared" si="68"/>
        <v>1900</v>
      </c>
      <c r="AT276" s="215">
        <f t="shared" si="69"/>
        <v>0</v>
      </c>
      <c r="AU276">
        <f t="shared" si="90"/>
        <v>0</v>
      </c>
      <c r="AW276" s="77">
        <f t="shared" si="70"/>
        <v>0</v>
      </c>
      <c r="BR276" s="14">
        <f t="shared" si="91"/>
      </c>
    </row>
    <row r="277" spans="1:70" ht="15.75">
      <c r="A277" s="39"/>
      <c r="B277" s="37"/>
      <c r="C277" s="30"/>
      <c r="D277" s="14"/>
      <c r="E277" s="77"/>
      <c r="F277" s="28"/>
      <c r="G277" s="197"/>
      <c r="H277" s="198"/>
      <c r="I277" s="35"/>
      <c r="J277" s="198"/>
      <c r="K277" s="14"/>
      <c r="L277" s="199"/>
      <c r="M277" s="199"/>
      <c r="N277" s="199"/>
      <c r="O277" s="199"/>
      <c r="P277" s="199"/>
      <c r="Q277" s="199"/>
      <c r="R277" s="199"/>
      <c r="S277" s="199"/>
      <c r="T277" s="199"/>
      <c r="U277" s="199"/>
      <c r="V277" s="199"/>
      <c r="W277" s="199"/>
      <c r="X277" s="199"/>
      <c r="Y277" s="199"/>
      <c r="Z277" s="199"/>
      <c r="AA277" s="199"/>
      <c r="AB277" s="199"/>
      <c r="AC277" s="199"/>
      <c r="AD277" s="199"/>
      <c r="AE277" s="199"/>
      <c r="AF277" s="199"/>
      <c r="AG277" s="199"/>
      <c r="AH277" s="199"/>
      <c r="AI277" s="199"/>
      <c r="AJ277" s="14"/>
      <c r="AK277" s="14"/>
      <c r="AL277" s="14"/>
      <c r="AM277" s="14"/>
      <c r="AN277" s="28"/>
      <c r="AO277" s="28">
        <f t="shared" si="87"/>
        <v>0</v>
      </c>
      <c r="AP277" s="28"/>
      <c r="AQ277" s="28">
        <f t="shared" si="88"/>
        <v>0</v>
      </c>
      <c r="AR277" s="215">
        <f t="shared" si="89"/>
        <v>0</v>
      </c>
      <c r="AS277" s="215">
        <f t="shared" si="68"/>
        <v>1900</v>
      </c>
      <c r="AT277" s="215">
        <f t="shared" si="69"/>
        <v>0</v>
      </c>
      <c r="AU277">
        <f t="shared" si="90"/>
        <v>0</v>
      </c>
      <c r="AW277" s="77">
        <f t="shared" si="70"/>
        <v>0</v>
      </c>
      <c r="BR277" s="14">
        <f t="shared" si="91"/>
      </c>
    </row>
    <row r="278" spans="1:70" ht="15.75">
      <c r="A278" s="39"/>
      <c r="B278" s="37"/>
      <c r="C278" s="30"/>
      <c r="D278" s="14"/>
      <c r="E278" s="77"/>
      <c r="F278" s="28"/>
      <c r="G278" s="197"/>
      <c r="H278" s="198"/>
      <c r="I278" s="35"/>
      <c r="J278" s="198"/>
      <c r="K278" s="14"/>
      <c r="L278" s="199"/>
      <c r="M278" s="199"/>
      <c r="N278" s="199"/>
      <c r="O278" s="199"/>
      <c r="P278" s="199"/>
      <c r="Q278" s="199"/>
      <c r="R278" s="199"/>
      <c r="S278" s="199"/>
      <c r="T278" s="199"/>
      <c r="U278" s="199"/>
      <c r="V278" s="199"/>
      <c r="W278" s="199"/>
      <c r="X278" s="199"/>
      <c r="Y278" s="199"/>
      <c r="Z278" s="199"/>
      <c r="AA278" s="199"/>
      <c r="AB278" s="199"/>
      <c r="AC278" s="199"/>
      <c r="AD278" s="199"/>
      <c r="AE278" s="199"/>
      <c r="AF278" s="199"/>
      <c r="AG278" s="199"/>
      <c r="AH278" s="199"/>
      <c r="AI278" s="199"/>
      <c r="AJ278" s="14"/>
      <c r="AK278" s="14"/>
      <c r="AL278" s="14"/>
      <c r="AM278" s="14"/>
      <c r="AN278" s="28"/>
      <c r="AO278" s="28">
        <f t="shared" si="87"/>
        <v>0</v>
      </c>
      <c r="AP278" s="28"/>
      <c r="AQ278" s="28">
        <f t="shared" si="88"/>
        <v>0</v>
      </c>
      <c r="AR278" s="215">
        <f t="shared" si="89"/>
        <v>0</v>
      </c>
      <c r="AS278" s="215">
        <f t="shared" si="68"/>
        <v>1900</v>
      </c>
      <c r="AT278" s="215">
        <f t="shared" si="69"/>
        <v>0</v>
      </c>
      <c r="AU278">
        <f t="shared" si="90"/>
        <v>0</v>
      </c>
      <c r="AW278" s="77">
        <f t="shared" si="70"/>
        <v>0</v>
      </c>
      <c r="BR278" s="14">
        <f t="shared" si="91"/>
      </c>
    </row>
    <row r="279" spans="1:70" ht="15.75">
      <c r="A279" s="39"/>
      <c r="B279" s="37"/>
      <c r="C279" s="30"/>
      <c r="D279" s="14"/>
      <c r="E279" s="77"/>
      <c r="F279" s="28"/>
      <c r="G279" s="197"/>
      <c r="H279" s="198"/>
      <c r="I279" s="35"/>
      <c r="J279" s="198"/>
      <c r="K279" s="14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199"/>
      <c r="Y279" s="199"/>
      <c r="Z279" s="199"/>
      <c r="AA279" s="199"/>
      <c r="AB279" s="199"/>
      <c r="AC279" s="199"/>
      <c r="AD279" s="199"/>
      <c r="AE279" s="199"/>
      <c r="AF279" s="199"/>
      <c r="AG279" s="199"/>
      <c r="AH279" s="199"/>
      <c r="AI279" s="199"/>
      <c r="AJ279" s="14"/>
      <c r="AK279" s="14"/>
      <c r="AL279" s="14"/>
      <c r="AM279" s="14"/>
      <c r="AN279" s="28"/>
      <c r="AO279" s="28"/>
      <c r="AP279" s="28"/>
      <c r="AQ279" s="28"/>
      <c r="BR279" s="14">
        <f t="shared" si="91"/>
      </c>
    </row>
    <row r="280" spans="1:70" ht="15.75">
      <c r="A280" s="39"/>
      <c r="B280" s="37"/>
      <c r="C280" s="30"/>
      <c r="D280" s="14"/>
      <c r="E280" s="77"/>
      <c r="F280" s="28"/>
      <c r="G280" s="197"/>
      <c r="H280" s="198"/>
      <c r="I280" s="35"/>
      <c r="J280" s="198"/>
      <c r="K280" s="14"/>
      <c r="L280" s="199"/>
      <c r="M280" s="199"/>
      <c r="N280" s="199"/>
      <c r="O280" s="199"/>
      <c r="P280" s="199"/>
      <c r="Q280" s="199"/>
      <c r="R280" s="199"/>
      <c r="S280" s="199"/>
      <c r="T280" s="199"/>
      <c r="U280" s="199"/>
      <c r="V280" s="199"/>
      <c r="W280" s="199"/>
      <c r="X280" s="199"/>
      <c r="Y280" s="199"/>
      <c r="Z280" s="199"/>
      <c r="AA280" s="199"/>
      <c r="AB280" s="199"/>
      <c r="AC280" s="199"/>
      <c r="AD280" s="199"/>
      <c r="AE280" s="199"/>
      <c r="AF280" s="199"/>
      <c r="AG280" s="199"/>
      <c r="AH280" s="199"/>
      <c r="AI280" s="199"/>
      <c r="AJ280" s="14"/>
      <c r="AK280" s="14"/>
      <c r="AL280" s="14"/>
      <c r="AM280" s="14"/>
      <c r="AN280" s="28"/>
      <c r="AO280" s="28"/>
      <c r="AP280" s="28"/>
      <c r="AQ280" s="28"/>
      <c r="BR280" s="14">
        <f t="shared" si="91"/>
      </c>
    </row>
    <row r="281" spans="1:70" ht="15.75">
      <c r="A281" s="39"/>
      <c r="B281" s="37"/>
      <c r="C281" s="30"/>
      <c r="D281" s="14"/>
      <c r="E281" s="77"/>
      <c r="F281" s="28"/>
      <c r="G281" s="197"/>
      <c r="H281" s="198"/>
      <c r="I281" s="35"/>
      <c r="J281" s="198"/>
      <c r="K281" s="14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99"/>
      <c r="AB281" s="199"/>
      <c r="AC281" s="199"/>
      <c r="AD281" s="199"/>
      <c r="AE281" s="199"/>
      <c r="AF281" s="199"/>
      <c r="AG281" s="199"/>
      <c r="AH281" s="199"/>
      <c r="AI281" s="199"/>
      <c r="AJ281" s="14"/>
      <c r="AK281" s="14"/>
      <c r="AL281" s="14"/>
      <c r="AM281" s="14"/>
      <c r="AN281" s="28"/>
      <c r="AO281" s="28"/>
      <c r="AP281" s="28"/>
      <c r="AQ281" s="28"/>
      <c r="BR281" s="14">
        <f t="shared" si="91"/>
      </c>
    </row>
    <row r="282" spans="1:70" ht="15.75">
      <c r="A282" s="39"/>
      <c r="B282" s="37"/>
      <c r="C282" s="30"/>
      <c r="D282" s="14"/>
      <c r="E282" s="77"/>
      <c r="F282" s="28"/>
      <c r="G282" s="197"/>
      <c r="H282" s="198"/>
      <c r="I282" s="35"/>
      <c r="J282" s="198"/>
      <c r="K282" s="14"/>
      <c r="L282" s="199"/>
      <c r="M282" s="199"/>
      <c r="N282" s="199"/>
      <c r="O282" s="199"/>
      <c r="P282" s="199"/>
      <c r="Q282" s="199"/>
      <c r="R282" s="199"/>
      <c r="S282" s="199"/>
      <c r="T282" s="199"/>
      <c r="U282" s="199"/>
      <c r="V282" s="199"/>
      <c r="W282" s="199"/>
      <c r="X282" s="199"/>
      <c r="Y282" s="199"/>
      <c r="Z282" s="199"/>
      <c r="AA282" s="199"/>
      <c r="AB282" s="199"/>
      <c r="AC282" s="199"/>
      <c r="AD282" s="199"/>
      <c r="AE282" s="199"/>
      <c r="AF282" s="199"/>
      <c r="AG282" s="199"/>
      <c r="AH282" s="199"/>
      <c r="AI282" s="199"/>
      <c r="AJ282" s="14"/>
      <c r="AK282" s="14"/>
      <c r="AL282" s="14"/>
      <c r="AM282" s="14"/>
      <c r="AN282" s="28"/>
      <c r="AO282" s="28"/>
      <c r="AP282" s="28"/>
      <c r="AQ282" s="28"/>
      <c r="BR282" s="14">
        <f t="shared" si="91"/>
      </c>
    </row>
    <row r="283" spans="1:70" ht="15.75">
      <c r="A283" s="39"/>
      <c r="B283" s="37"/>
      <c r="C283" s="30"/>
      <c r="D283" s="14"/>
      <c r="E283" s="77"/>
      <c r="F283" s="28"/>
      <c r="G283" s="197"/>
      <c r="H283" s="198"/>
      <c r="I283" s="35"/>
      <c r="J283" s="198"/>
      <c r="K283" s="14"/>
      <c r="L283" s="199"/>
      <c r="M283" s="199"/>
      <c r="N283" s="199"/>
      <c r="O283" s="199"/>
      <c r="P283" s="199"/>
      <c r="Q283" s="199"/>
      <c r="R283" s="199"/>
      <c r="S283" s="199"/>
      <c r="T283" s="199"/>
      <c r="U283" s="199"/>
      <c r="V283" s="199"/>
      <c r="W283" s="199"/>
      <c r="X283" s="199"/>
      <c r="Y283" s="199"/>
      <c r="Z283" s="199"/>
      <c r="AA283" s="199"/>
      <c r="AB283" s="199"/>
      <c r="AC283" s="199"/>
      <c r="AD283" s="199"/>
      <c r="AE283" s="199"/>
      <c r="AF283" s="199"/>
      <c r="AG283" s="199"/>
      <c r="AH283" s="199"/>
      <c r="AI283" s="199"/>
      <c r="AJ283" s="14"/>
      <c r="AK283" s="14"/>
      <c r="AL283" s="14"/>
      <c r="AM283" s="14"/>
      <c r="AN283" s="28"/>
      <c r="AO283" s="28"/>
      <c r="AP283" s="28"/>
      <c r="AQ283" s="28"/>
      <c r="BR283" s="14">
        <f t="shared" si="91"/>
      </c>
    </row>
    <row r="284" spans="1:70" ht="15.75">
      <c r="A284" s="39"/>
      <c r="B284" s="37"/>
      <c r="C284" s="30"/>
      <c r="D284" s="14"/>
      <c r="E284" s="77"/>
      <c r="F284" s="28"/>
      <c r="G284" s="197"/>
      <c r="H284" s="198"/>
      <c r="I284" s="35"/>
      <c r="J284" s="198"/>
      <c r="K284" s="14"/>
      <c r="L284" s="199"/>
      <c r="M284" s="199"/>
      <c r="N284" s="199"/>
      <c r="O284" s="199"/>
      <c r="P284" s="199"/>
      <c r="Q284" s="199"/>
      <c r="R284" s="199"/>
      <c r="S284" s="199"/>
      <c r="T284" s="199"/>
      <c r="U284" s="199"/>
      <c r="V284" s="199"/>
      <c r="W284" s="199"/>
      <c r="X284" s="199"/>
      <c r="Y284" s="199"/>
      <c r="Z284" s="199"/>
      <c r="AA284" s="199"/>
      <c r="AB284" s="199"/>
      <c r="AC284" s="199"/>
      <c r="AD284" s="199"/>
      <c r="AE284" s="199"/>
      <c r="AF284" s="199"/>
      <c r="AG284" s="199"/>
      <c r="AH284" s="199"/>
      <c r="AI284" s="199"/>
      <c r="AJ284" s="14"/>
      <c r="AK284" s="14"/>
      <c r="AL284" s="14"/>
      <c r="AM284" s="14"/>
      <c r="AN284" s="28"/>
      <c r="AO284" s="28"/>
      <c r="AP284" s="28"/>
      <c r="AQ284" s="28"/>
      <c r="BR284" s="14">
        <f t="shared" si="91"/>
      </c>
    </row>
    <row r="285" spans="1:70" ht="15.75">
      <c r="A285" s="39"/>
      <c r="B285" s="37"/>
      <c r="C285" s="30"/>
      <c r="D285" s="14"/>
      <c r="E285" s="77"/>
      <c r="F285" s="28"/>
      <c r="G285" s="197"/>
      <c r="H285" s="198"/>
      <c r="I285" s="35"/>
      <c r="J285" s="198"/>
      <c r="K285" s="14"/>
      <c r="L285" s="199"/>
      <c r="M285" s="199"/>
      <c r="N285" s="199"/>
      <c r="O285" s="199"/>
      <c r="P285" s="199"/>
      <c r="Q285" s="199"/>
      <c r="R285" s="199"/>
      <c r="S285" s="199"/>
      <c r="T285" s="199"/>
      <c r="U285" s="199"/>
      <c r="V285" s="199"/>
      <c r="W285" s="199"/>
      <c r="X285" s="199"/>
      <c r="Y285" s="199"/>
      <c r="Z285" s="199"/>
      <c r="AA285" s="199"/>
      <c r="AB285" s="199"/>
      <c r="AC285" s="199"/>
      <c r="AD285" s="199"/>
      <c r="AE285" s="199"/>
      <c r="AF285" s="199"/>
      <c r="AG285" s="199"/>
      <c r="AH285" s="199"/>
      <c r="AI285" s="199"/>
      <c r="AJ285" s="14"/>
      <c r="AK285" s="14"/>
      <c r="AL285" s="14"/>
      <c r="AM285" s="14"/>
      <c r="AN285" s="28"/>
      <c r="AO285" s="28"/>
      <c r="AP285" s="28"/>
      <c r="AQ285" s="28"/>
      <c r="BR285" s="14">
        <f t="shared" si="91"/>
      </c>
    </row>
    <row r="286" spans="1:70" ht="15.75">
      <c r="A286" s="39"/>
      <c r="B286" s="37"/>
      <c r="C286" s="30"/>
      <c r="D286" s="14"/>
      <c r="E286" s="77"/>
      <c r="F286" s="28"/>
      <c r="G286" s="197"/>
      <c r="H286" s="198"/>
      <c r="I286" s="35"/>
      <c r="J286" s="198"/>
      <c r="K286" s="14"/>
      <c r="L286" s="199"/>
      <c r="M286" s="199"/>
      <c r="N286" s="199"/>
      <c r="O286" s="199"/>
      <c r="P286" s="199"/>
      <c r="Q286" s="199"/>
      <c r="R286" s="199"/>
      <c r="S286" s="199"/>
      <c r="T286" s="199"/>
      <c r="U286" s="199"/>
      <c r="V286" s="199"/>
      <c r="W286" s="199"/>
      <c r="X286" s="199"/>
      <c r="Y286" s="199"/>
      <c r="Z286" s="199"/>
      <c r="AA286" s="199"/>
      <c r="AB286" s="199"/>
      <c r="AC286" s="199"/>
      <c r="AD286" s="199"/>
      <c r="AE286" s="199"/>
      <c r="AF286" s="199"/>
      <c r="AG286" s="199"/>
      <c r="AH286" s="199"/>
      <c r="AI286" s="199"/>
      <c r="AJ286" s="14"/>
      <c r="AK286" s="14"/>
      <c r="AL286" s="14"/>
      <c r="AM286" s="14"/>
      <c r="AN286" s="28"/>
      <c r="AO286" s="28"/>
      <c r="AP286" s="28"/>
      <c r="AQ286" s="28"/>
      <c r="BR286" s="14">
        <f t="shared" si="91"/>
      </c>
    </row>
    <row r="287" spans="1:70" ht="15.75">
      <c r="A287" s="39"/>
      <c r="B287" s="37"/>
      <c r="C287" s="30"/>
      <c r="D287" s="14"/>
      <c r="E287" s="77"/>
      <c r="F287" s="28"/>
      <c r="G287" s="197"/>
      <c r="H287" s="198"/>
      <c r="I287" s="35"/>
      <c r="J287" s="198"/>
      <c r="K287" s="14"/>
      <c r="L287" s="199"/>
      <c r="M287" s="199"/>
      <c r="N287" s="199"/>
      <c r="O287" s="199"/>
      <c r="P287" s="199"/>
      <c r="Q287" s="199"/>
      <c r="R287" s="199"/>
      <c r="S287" s="199"/>
      <c r="T287" s="199"/>
      <c r="U287" s="199"/>
      <c r="V287" s="199"/>
      <c r="W287" s="199"/>
      <c r="X287" s="199"/>
      <c r="Y287" s="199"/>
      <c r="Z287" s="199"/>
      <c r="AA287" s="199"/>
      <c r="AB287" s="199"/>
      <c r="AC287" s="199"/>
      <c r="AD287" s="199"/>
      <c r="AE287" s="199"/>
      <c r="AF287" s="199"/>
      <c r="AG287" s="199"/>
      <c r="AH287" s="199"/>
      <c r="AI287" s="199"/>
      <c r="AJ287" s="14"/>
      <c r="AK287" s="14"/>
      <c r="AL287" s="14"/>
      <c r="AM287" s="14"/>
      <c r="AN287" s="28"/>
      <c r="AO287" s="28"/>
      <c r="AP287" s="28"/>
      <c r="AQ287" s="28"/>
      <c r="BR287" s="14">
        <f t="shared" si="91"/>
      </c>
    </row>
    <row r="288" spans="1:70" ht="15.75">
      <c r="A288" s="39"/>
      <c r="B288" s="37"/>
      <c r="C288" s="30"/>
      <c r="D288" s="14"/>
      <c r="E288" s="77"/>
      <c r="F288" s="28"/>
      <c r="G288" s="197"/>
      <c r="H288" s="198"/>
      <c r="I288" s="35"/>
      <c r="J288" s="198"/>
      <c r="K288" s="14"/>
      <c r="L288" s="199"/>
      <c r="M288" s="199"/>
      <c r="N288" s="199"/>
      <c r="O288" s="199"/>
      <c r="P288" s="199"/>
      <c r="Q288" s="199"/>
      <c r="R288" s="199"/>
      <c r="S288" s="199"/>
      <c r="T288" s="199"/>
      <c r="U288" s="199"/>
      <c r="V288" s="199"/>
      <c r="W288" s="199"/>
      <c r="X288" s="199"/>
      <c r="Y288" s="199"/>
      <c r="Z288" s="199"/>
      <c r="AA288" s="199"/>
      <c r="AB288" s="199"/>
      <c r="AC288" s="199"/>
      <c r="AD288" s="199"/>
      <c r="AE288" s="199"/>
      <c r="AF288" s="199"/>
      <c r="AG288" s="199"/>
      <c r="AH288" s="199"/>
      <c r="AI288" s="199"/>
      <c r="AJ288" s="14"/>
      <c r="AK288" s="14"/>
      <c r="AL288" s="14"/>
      <c r="AM288" s="14"/>
      <c r="AN288" s="28"/>
      <c r="AO288" s="28"/>
      <c r="AP288" s="28"/>
      <c r="AQ288" s="28"/>
      <c r="BR288" s="14">
        <f t="shared" si="91"/>
      </c>
    </row>
    <row r="289" spans="1:70" ht="15.75">
      <c r="A289" s="39"/>
      <c r="B289" s="37"/>
      <c r="C289" s="30"/>
      <c r="D289" s="14"/>
      <c r="E289" s="77"/>
      <c r="F289" s="28"/>
      <c r="G289" s="197"/>
      <c r="H289" s="198"/>
      <c r="I289" s="35"/>
      <c r="J289" s="198"/>
      <c r="K289" s="14"/>
      <c r="L289" s="199"/>
      <c r="M289" s="199"/>
      <c r="N289" s="199"/>
      <c r="O289" s="199"/>
      <c r="P289" s="199"/>
      <c r="Q289" s="199"/>
      <c r="R289" s="199"/>
      <c r="S289" s="199"/>
      <c r="T289" s="199"/>
      <c r="U289" s="199"/>
      <c r="V289" s="199"/>
      <c r="W289" s="199"/>
      <c r="X289" s="199"/>
      <c r="Y289" s="199"/>
      <c r="Z289" s="199"/>
      <c r="AA289" s="199"/>
      <c r="AB289" s="199"/>
      <c r="AC289" s="199"/>
      <c r="AD289" s="199"/>
      <c r="AE289" s="199"/>
      <c r="AF289" s="199"/>
      <c r="AG289" s="199"/>
      <c r="AH289" s="199"/>
      <c r="AI289" s="199"/>
      <c r="AJ289" s="14"/>
      <c r="AK289" s="14"/>
      <c r="AL289" s="14"/>
      <c r="AM289" s="14"/>
      <c r="AN289" s="28"/>
      <c r="AO289" s="28"/>
      <c r="AP289" s="28"/>
      <c r="AQ289" s="28"/>
      <c r="BR289" s="14">
        <f t="shared" si="91"/>
      </c>
    </row>
    <row r="290" spans="1:70" ht="15.75">
      <c r="A290" s="39"/>
      <c r="B290" s="37"/>
      <c r="C290" s="30"/>
      <c r="D290" s="14"/>
      <c r="E290" s="77"/>
      <c r="F290" s="28"/>
      <c r="G290" s="197"/>
      <c r="H290" s="198"/>
      <c r="I290" s="35"/>
      <c r="J290" s="198"/>
      <c r="K290" s="14"/>
      <c r="L290" s="199"/>
      <c r="M290" s="199"/>
      <c r="N290" s="199"/>
      <c r="O290" s="199"/>
      <c r="P290" s="199"/>
      <c r="Q290" s="199"/>
      <c r="R290" s="199"/>
      <c r="S290" s="199"/>
      <c r="T290" s="199"/>
      <c r="U290" s="199"/>
      <c r="V290" s="199"/>
      <c r="W290" s="199"/>
      <c r="X290" s="199"/>
      <c r="Y290" s="199"/>
      <c r="Z290" s="199"/>
      <c r="AA290" s="199"/>
      <c r="AB290" s="199"/>
      <c r="AC290" s="199"/>
      <c r="AD290" s="199"/>
      <c r="AE290" s="199"/>
      <c r="AF290" s="199"/>
      <c r="AG290" s="199"/>
      <c r="AH290" s="199"/>
      <c r="AI290" s="199"/>
      <c r="AJ290" s="14"/>
      <c r="AK290" s="14"/>
      <c r="AL290" s="14"/>
      <c r="AM290" s="14"/>
      <c r="AN290" s="28"/>
      <c r="AO290" s="28"/>
      <c r="AP290" s="28"/>
      <c r="AQ290" s="28"/>
      <c r="BR290" s="14">
        <f t="shared" si="91"/>
      </c>
    </row>
    <row r="291" spans="1:70" ht="15.75">
      <c r="A291" s="39"/>
      <c r="B291" s="37"/>
      <c r="C291" s="30"/>
      <c r="D291" s="14"/>
      <c r="E291" s="77"/>
      <c r="F291" s="28"/>
      <c r="G291" s="197"/>
      <c r="H291" s="198"/>
      <c r="I291" s="35"/>
      <c r="J291" s="198"/>
      <c r="K291" s="14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  <c r="AA291" s="199"/>
      <c r="AB291" s="199"/>
      <c r="AC291" s="199"/>
      <c r="AD291" s="199"/>
      <c r="AE291" s="199"/>
      <c r="AF291" s="199"/>
      <c r="AG291" s="199"/>
      <c r="AH291" s="199"/>
      <c r="AI291" s="199"/>
      <c r="AJ291" s="14"/>
      <c r="AK291" s="14"/>
      <c r="AL291" s="14"/>
      <c r="AM291" s="14"/>
      <c r="AN291" s="28"/>
      <c r="AO291" s="28"/>
      <c r="AP291" s="28"/>
      <c r="AQ291" s="28"/>
      <c r="BR291" s="14">
        <f t="shared" si="91"/>
      </c>
    </row>
    <row r="292" spans="1:70" ht="15.75">
      <c r="A292" s="39"/>
      <c r="B292" s="37"/>
      <c r="C292" s="30"/>
      <c r="D292" s="14"/>
      <c r="E292" s="77"/>
      <c r="F292" s="28"/>
      <c r="G292" s="197"/>
      <c r="H292" s="198"/>
      <c r="I292" s="35"/>
      <c r="J292" s="198"/>
      <c r="K292" s="14"/>
      <c r="L292" s="199"/>
      <c r="M292" s="199"/>
      <c r="N292" s="199"/>
      <c r="O292" s="199"/>
      <c r="P292" s="199"/>
      <c r="Q292" s="199"/>
      <c r="R292" s="199"/>
      <c r="S292" s="199"/>
      <c r="T292" s="199"/>
      <c r="U292" s="199"/>
      <c r="V292" s="199"/>
      <c r="W292" s="199"/>
      <c r="X292" s="199"/>
      <c r="Y292" s="199"/>
      <c r="Z292" s="199"/>
      <c r="AA292" s="199"/>
      <c r="AB292" s="199"/>
      <c r="AC292" s="199"/>
      <c r="AD292" s="199"/>
      <c r="AE292" s="199"/>
      <c r="AF292" s="199"/>
      <c r="AG292" s="199"/>
      <c r="AH292" s="199"/>
      <c r="AI292" s="199"/>
      <c r="AJ292" s="14"/>
      <c r="AK292" s="14"/>
      <c r="AL292" s="14"/>
      <c r="AM292" s="14"/>
      <c r="AN292" s="28"/>
      <c r="AO292" s="28"/>
      <c r="AP292" s="28"/>
      <c r="AQ292" s="28"/>
      <c r="BR292" s="14">
        <f t="shared" si="91"/>
      </c>
    </row>
    <row r="293" spans="1:70" ht="15.75">
      <c r="A293" s="39"/>
      <c r="B293" s="37"/>
      <c r="C293" s="30"/>
      <c r="D293" s="14"/>
      <c r="E293" s="77"/>
      <c r="F293" s="28"/>
      <c r="G293" s="197"/>
      <c r="H293" s="198"/>
      <c r="I293" s="35"/>
      <c r="J293" s="198"/>
      <c r="K293" s="14"/>
      <c r="L293" s="199"/>
      <c r="M293" s="199"/>
      <c r="N293" s="199"/>
      <c r="O293" s="199"/>
      <c r="P293" s="199"/>
      <c r="Q293" s="199"/>
      <c r="R293" s="199"/>
      <c r="S293" s="199"/>
      <c r="T293" s="199"/>
      <c r="U293" s="199"/>
      <c r="V293" s="199"/>
      <c r="W293" s="199"/>
      <c r="X293" s="199"/>
      <c r="Y293" s="199"/>
      <c r="Z293" s="199"/>
      <c r="AA293" s="199"/>
      <c r="AB293" s="199"/>
      <c r="AC293" s="199"/>
      <c r="AD293" s="199"/>
      <c r="AE293" s="199"/>
      <c r="AF293" s="199"/>
      <c r="AG293" s="199"/>
      <c r="AH293" s="199"/>
      <c r="AI293" s="199"/>
      <c r="AJ293" s="14"/>
      <c r="AK293" s="14"/>
      <c r="AL293" s="14"/>
      <c r="AM293" s="14"/>
      <c r="AN293" s="28"/>
      <c r="AO293" s="28"/>
      <c r="AP293" s="28"/>
      <c r="AQ293" s="28"/>
      <c r="BR293" s="14">
        <f t="shared" si="91"/>
      </c>
    </row>
    <row r="294" spans="1:70" ht="15.75">
      <c r="A294" s="39"/>
      <c r="B294" s="37"/>
      <c r="C294" s="30"/>
      <c r="D294" s="14"/>
      <c r="E294" s="77"/>
      <c r="F294" s="28"/>
      <c r="G294" s="197"/>
      <c r="H294" s="198"/>
      <c r="I294" s="35"/>
      <c r="J294" s="198"/>
      <c r="K294" s="14"/>
      <c r="L294" s="199"/>
      <c r="M294" s="199"/>
      <c r="N294" s="199"/>
      <c r="O294" s="199"/>
      <c r="P294" s="199"/>
      <c r="Q294" s="199"/>
      <c r="R294" s="199"/>
      <c r="S294" s="199"/>
      <c r="T294" s="199"/>
      <c r="U294" s="199"/>
      <c r="V294" s="199"/>
      <c r="W294" s="199"/>
      <c r="X294" s="199"/>
      <c r="Y294" s="199"/>
      <c r="Z294" s="199"/>
      <c r="AA294" s="199"/>
      <c r="AB294" s="199"/>
      <c r="AC294" s="199"/>
      <c r="AD294" s="199"/>
      <c r="AE294" s="199"/>
      <c r="AF294" s="199"/>
      <c r="AG294" s="199"/>
      <c r="AH294" s="199"/>
      <c r="AI294" s="199"/>
      <c r="AJ294" s="14"/>
      <c r="AK294" s="14"/>
      <c r="AL294" s="14"/>
      <c r="AM294" s="14"/>
      <c r="AN294" s="28"/>
      <c r="AO294" s="28"/>
      <c r="AP294" s="28"/>
      <c r="AQ294" s="28"/>
      <c r="BR294" s="14">
        <f t="shared" si="91"/>
      </c>
    </row>
    <row r="295" spans="1:70" ht="15.75">
      <c r="A295" s="39"/>
      <c r="B295" s="37"/>
      <c r="C295" s="30"/>
      <c r="D295" s="14"/>
      <c r="E295" s="77"/>
      <c r="F295" s="28"/>
      <c r="G295" s="197"/>
      <c r="H295" s="198"/>
      <c r="I295" s="35"/>
      <c r="J295" s="198"/>
      <c r="K295" s="14"/>
      <c r="L295" s="199"/>
      <c r="M295" s="199"/>
      <c r="N295" s="199"/>
      <c r="O295" s="199"/>
      <c r="P295" s="199"/>
      <c r="Q295" s="199"/>
      <c r="R295" s="199"/>
      <c r="S295" s="199"/>
      <c r="T295" s="199"/>
      <c r="U295" s="199"/>
      <c r="V295" s="199"/>
      <c r="W295" s="199"/>
      <c r="X295" s="199"/>
      <c r="Y295" s="199"/>
      <c r="Z295" s="199"/>
      <c r="AA295" s="199"/>
      <c r="AB295" s="199"/>
      <c r="AC295" s="199"/>
      <c r="AD295" s="199"/>
      <c r="AE295" s="199"/>
      <c r="AF295" s="199"/>
      <c r="AG295" s="199"/>
      <c r="AH295" s="199"/>
      <c r="AI295" s="199"/>
      <c r="AJ295" s="14"/>
      <c r="AK295" s="14"/>
      <c r="AL295" s="14"/>
      <c r="AM295" s="14"/>
      <c r="AN295" s="28"/>
      <c r="AO295" s="28"/>
      <c r="AP295" s="28"/>
      <c r="AQ295" s="28"/>
      <c r="BR295" s="14">
        <f t="shared" si="91"/>
      </c>
    </row>
    <row r="296" spans="1:70" ht="15.75">
      <c r="A296" s="39"/>
      <c r="B296" s="37"/>
      <c r="C296" s="30"/>
      <c r="D296" s="14"/>
      <c r="E296" s="77"/>
      <c r="F296" s="28"/>
      <c r="G296" s="197"/>
      <c r="H296" s="198"/>
      <c r="I296" s="35"/>
      <c r="J296" s="198"/>
      <c r="K296" s="14"/>
      <c r="L296" s="199"/>
      <c r="M296" s="199"/>
      <c r="N296" s="199"/>
      <c r="O296" s="199"/>
      <c r="P296" s="199"/>
      <c r="Q296" s="199"/>
      <c r="R296" s="199"/>
      <c r="S296" s="199"/>
      <c r="T296" s="199"/>
      <c r="U296" s="199"/>
      <c r="V296" s="199"/>
      <c r="W296" s="199"/>
      <c r="X296" s="199"/>
      <c r="Y296" s="199"/>
      <c r="Z296" s="199"/>
      <c r="AA296" s="199"/>
      <c r="AB296" s="199"/>
      <c r="AC296" s="199"/>
      <c r="AD296" s="199"/>
      <c r="AE296" s="199"/>
      <c r="AF296" s="199"/>
      <c r="AG296" s="199"/>
      <c r="AH296" s="199"/>
      <c r="AI296" s="199"/>
      <c r="AJ296" s="14"/>
      <c r="AK296" s="14"/>
      <c r="AL296" s="14"/>
      <c r="AM296" s="14"/>
      <c r="AN296" s="28"/>
      <c r="AO296" s="28"/>
      <c r="AP296" s="28"/>
      <c r="AQ296" s="28"/>
      <c r="BR296" s="14">
        <f t="shared" si="91"/>
      </c>
    </row>
    <row r="297" spans="1:70" ht="15.75">
      <c r="A297" s="39"/>
      <c r="B297" s="37"/>
      <c r="C297" s="30"/>
      <c r="D297" s="14"/>
      <c r="E297" s="77"/>
      <c r="F297" s="28"/>
      <c r="G297" s="197"/>
      <c r="H297" s="198"/>
      <c r="I297" s="35"/>
      <c r="J297" s="198"/>
      <c r="K297" s="14"/>
      <c r="L297" s="199"/>
      <c r="M297" s="199"/>
      <c r="N297" s="199"/>
      <c r="O297" s="199"/>
      <c r="P297" s="199"/>
      <c r="Q297" s="199"/>
      <c r="R297" s="199"/>
      <c r="S297" s="199"/>
      <c r="T297" s="199"/>
      <c r="U297" s="199"/>
      <c r="V297" s="199"/>
      <c r="W297" s="199"/>
      <c r="X297" s="199"/>
      <c r="Y297" s="199"/>
      <c r="Z297" s="199"/>
      <c r="AA297" s="199"/>
      <c r="AB297" s="199"/>
      <c r="AC297" s="199"/>
      <c r="AD297" s="199"/>
      <c r="AE297" s="199"/>
      <c r="AF297" s="199"/>
      <c r="AG297" s="199"/>
      <c r="AH297" s="199"/>
      <c r="AI297" s="199"/>
      <c r="AJ297" s="14"/>
      <c r="AK297" s="14"/>
      <c r="AL297" s="14"/>
      <c r="AM297" s="14"/>
      <c r="AN297" s="28"/>
      <c r="AO297" s="28"/>
      <c r="AP297" s="28"/>
      <c r="AQ297" s="28"/>
      <c r="BR297" s="14">
        <f t="shared" si="91"/>
      </c>
    </row>
    <row r="298" spans="1:70" ht="15.75">
      <c r="A298" s="39"/>
      <c r="B298" s="37"/>
      <c r="C298" s="30"/>
      <c r="D298" s="14"/>
      <c r="E298" s="77"/>
      <c r="F298" s="28"/>
      <c r="G298" s="197"/>
      <c r="H298" s="198"/>
      <c r="I298" s="35"/>
      <c r="J298" s="198"/>
      <c r="K298" s="14"/>
      <c r="L298" s="199"/>
      <c r="M298" s="199"/>
      <c r="N298" s="199"/>
      <c r="O298" s="199"/>
      <c r="P298" s="199"/>
      <c r="Q298" s="199"/>
      <c r="R298" s="199"/>
      <c r="S298" s="199"/>
      <c r="T298" s="199"/>
      <c r="U298" s="199"/>
      <c r="V298" s="199"/>
      <c r="W298" s="199"/>
      <c r="X298" s="199"/>
      <c r="Y298" s="199"/>
      <c r="Z298" s="199"/>
      <c r="AA298" s="199"/>
      <c r="AB298" s="199"/>
      <c r="AC298" s="199"/>
      <c r="AD298" s="199"/>
      <c r="AE298" s="199"/>
      <c r="AF298" s="199"/>
      <c r="AG298" s="199"/>
      <c r="AH298" s="199"/>
      <c r="AI298" s="199"/>
      <c r="AJ298" s="14"/>
      <c r="AK298" s="14"/>
      <c r="AL298" s="14"/>
      <c r="AM298" s="14"/>
      <c r="AN298" s="28"/>
      <c r="AO298" s="28"/>
      <c r="AP298" s="28"/>
      <c r="AQ298" s="28"/>
      <c r="BR298" s="14">
        <f t="shared" si="91"/>
      </c>
    </row>
    <row r="299" spans="1:70" ht="15.75">
      <c r="A299" s="39"/>
      <c r="B299" s="37"/>
      <c r="C299" s="30"/>
      <c r="D299" s="14"/>
      <c r="E299" s="77"/>
      <c r="F299" s="28"/>
      <c r="G299" s="197"/>
      <c r="H299" s="198"/>
      <c r="I299" s="35"/>
      <c r="J299" s="198"/>
      <c r="K299" s="14"/>
      <c r="L299" s="199"/>
      <c r="M299" s="199"/>
      <c r="N299" s="199"/>
      <c r="O299" s="199"/>
      <c r="P299" s="199"/>
      <c r="Q299" s="199"/>
      <c r="R299" s="199"/>
      <c r="S299" s="199"/>
      <c r="T299" s="199"/>
      <c r="U299" s="199"/>
      <c r="V299" s="199"/>
      <c r="W299" s="199"/>
      <c r="X299" s="199"/>
      <c r="Y299" s="199"/>
      <c r="Z299" s="199"/>
      <c r="AA299" s="199"/>
      <c r="AB299" s="199"/>
      <c r="AC299" s="199"/>
      <c r="AD299" s="199"/>
      <c r="AE299" s="199"/>
      <c r="AF299" s="199"/>
      <c r="AG299" s="199"/>
      <c r="AH299" s="199"/>
      <c r="AI299" s="199"/>
      <c r="AJ299" s="14"/>
      <c r="AK299" s="14"/>
      <c r="AL299" s="14"/>
      <c r="AM299" s="14"/>
      <c r="AN299" s="28"/>
      <c r="AO299" s="28"/>
      <c r="AP299" s="28"/>
      <c r="AQ299" s="28"/>
      <c r="BR299" s="14">
        <f t="shared" si="91"/>
      </c>
    </row>
    <row r="300" spans="1:70" ht="15.75">
      <c r="A300" s="39"/>
      <c r="B300" s="37"/>
      <c r="C300" s="30"/>
      <c r="D300" s="14"/>
      <c r="E300" s="77"/>
      <c r="F300" s="28"/>
      <c r="G300" s="197"/>
      <c r="H300" s="198"/>
      <c r="I300" s="35"/>
      <c r="J300" s="198"/>
      <c r="K300" s="14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199"/>
      <c r="AB300" s="199"/>
      <c r="AC300" s="199"/>
      <c r="AD300" s="199"/>
      <c r="AE300" s="199"/>
      <c r="AF300" s="199"/>
      <c r="AG300" s="199"/>
      <c r="AH300" s="199"/>
      <c r="AI300" s="199"/>
      <c r="AJ300" s="14"/>
      <c r="AK300" s="14"/>
      <c r="AL300" s="14"/>
      <c r="AM300" s="14"/>
      <c r="AN300" s="28"/>
      <c r="AO300" s="28"/>
      <c r="AP300" s="28"/>
      <c r="AQ300" s="28"/>
      <c r="BR300" s="14">
        <f t="shared" si="91"/>
      </c>
    </row>
    <row r="301" spans="1:70" ht="15.75">
      <c r="A301" s="39"/>
      <c r="B301" s="37"/>
      <c r="C301" s="30"/>
      <c r="D301" s="14"/>
      <c r="E301" s="77"/>
      <c r="F301" s="28"/>
      <c r="G301" s="197"/>
      <c r="H301" s="198"/>
      <c r="I301" s="35"/>
      <c r="J301" s="198"/>
      <c r="K301" s="14"/>
      <c r="L301" s="199"/>
      <c r="M301" s="199"/>
      <c r="N301" s="199"/>
      <c r="O301" s="199"/>
      <c r="P301" s="199"/>
      <c r="Q301" s="199"/>
      <c r="R301" s="199"/>
      <c r="S301" s="199"/>
      <c r="T301" s="199"/>
      <c r="U301" s="199"/>
      <c r="V301" s="199"/>
      <c r="W301" s="199"/>
      <c r="X301" s="199"/>
      <c r="Y301" s="199"/>
      <c r="Z301" s="199"/>
      <c r="AA301" s="199"/>
      <c r="AB301" s="199"/>
      <c r="AC301" s="199"/>
      <c r="AD301" s="199"/>
      <c r="AE301" s="199"/>
      <c r="AF301" s="199"/>
      <c r="AG301" s="199"/>
      <c r="AH301" s="199"/>
      <c r="AI301" s="199"/>
      <c r="AJ301" s="14"/>
      <c r="AK301" s="14"/>
      <c r="AL301" s="14"/>
      <c r="AM301" s="14"/>
      <c r="AN301" s="28"/>
      <c r="AO301" s="28"/>
      <c r="AP301" s="28"/>
      <c r="AQ301" s="28"/>
      <c r="BR301" s="14">
        <f t="shared" si="91"/>
      </c>
    </row>
    <row r="302" spans="1:70" ht="15.75">
      <c r="A302" s="39"/>
      <c r="B302" s="37"/>
      <c r="C302" s="30"/>
      <c r="D302" s="14"/>
      <c r="E302" s="77"/>
      <c r="F302" s="28"/>
      <c r="G302" s="197"/>
      <c r="H302" s="198"/>
      <c r="I302" s="35"/>
      <c r="J302" s="198"/>
      <c r="K302" s="14"/>
      <c r="L302" s="199"/>
      <c r="M302" s="199"/>
      <c r="N302" s="199"/>
      <c r="O302" s="199"/>
      <c r="P302" s="199"/>
      <c r="Q302" s="199"/>
      <c r="R302" s="199"/>
      <c r="S302" s="199"/>
      <c r="T302" s="199"/>
      <c r="U302" s="199"/>
      <c r="V302" s="199"/>
      <c r="W302" s="199"/>
      <c r="X302" s="199"/>
      <c r="Y302" s="199"/>
      <c r="Z302" s="199"/>
      <c r="AA302" s="199"/>
      <c r="AB302" s="199"/>
      <c r="AC302" s="199"/>
      <c r="AD302" s="199"/>
      <c r="AE302" s="199"/>
      <c r="AF302" s="199"/>
      <c r="AG302" s="199"/>
      <c r="AH302" s="199"/>
      <c r="AI302" s="199"/>
      <c r="AJ302" s="14"/>
      <c r="AK302" s="14"/>
      <c r="AL302" s="14"/>
      <c r="AM302" s="14"/>
      <c r="AN302" s="28"/>
      <c r="AO302" s="28"/>
      <c r="AP302" s="28"/>
      <c r="AQ302" s="28"/>
      <c r="BR302" s="14">
        <f t="shared" si="91"/>
      </c>
    </row>
    <row r="303" spans="1:70" ht="15.75">
      <c r="A303" s="39"/>
      <c r="B303" s="37"/>
      <c r="C303" s="30"/>
      <c r="D303" s="14"/>
      <c r="E303" s="77"/>
      <c r="F303" s="28"/>
      <c r="G303" s="197"/>
      <c r="H303" s="198"/>
      <c r="I303" s="35"/>
      <c r="J303" s="198"/>
      <c r="K303" s="14"/>
      <c r="L303" s="199"/>
      <c r="M303" s="199"/>
      <c r="N303" s="199"/>
      <c r="O303" s="199"/>
      <c r="P303" s="199"/>
      <c r="Q303" s="199"/>
      <c r="R303" s="199"/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  <c r="AC303" s="199"/>
      <c r="AD303" s="199"/>
      <c r="AE303" s="199"/>
      <c r="AF303" s="199"/>
      <c r="AG303" s="199"/>
      <c r="AH303" s="199"/>
      <c r="AI303" s="199"/>
      <c r="AJ303" s="14"/>
      <c r="AK303" s="14"/>
      <c r="AL303" s="14"/>
      <c r="AM303" s="14"/>
      <c r="AN303" s="28"/>
      <c r="AO303" s="28"/>
      <c r="AP303" s="28"/>
      <c r="AQ303" s="28"/>
      <c r="BR303" s="14">
        <f t="shared" si="91"/>
      </c>
    </row>
    <row r="304" spans="1:70" ht="15.75">
      <c r="A304" s="39"/>
      <c r="B304" s="37"/>
      <c r="C304" s="30"/>
      <c r="D304" s="14"/>
      <c r="E304" s="77"/>
      <c r="F304" s="28"/>
      <c r="G304" s="197"/>
      <c r="H304" s="198"/>
      <c r="I304" s="35"/>
      <c r="J304" s="198"/>
      <c r="K304" s="14"/>
      <c r="L304" s="199"/>
      <c r="M304" s="199"/>
      <c r="N304" s="199"/>
      <c r="O304" s="199"/>
      <c r="P304" s="199"/>
      <c r="Q304" s="199"/>
      <c r="R304" s="199"/>
      <c r="S304" s="199"/>
      <c r="T304" s="199"/>
      <c r="U304" s="199"/>
      <c r="V304" s="199"/>
      <c r="W304" s="199"/>
      <c r="X304" s="199"/>
      <c r="Y304" s="199"/>
      <c r="Z304" s="199"/>
      <c r="AA304" s="199"/>
      <c r="AB304" s="199"/>
      <c r="AC304" s="199"/>
      <c r="AD304" s="199"/>
      <c r="AE304" s="199"/>
      <c r="AF304" s="199"/>
      <c r="AG304" s="199"/>
      <c r="AH304" s="199"/>
      <c r="AI304" s="199"/>
      <c r="AJ304" s="14"/>
      <c r="AK304" s="14"/>
      <c r="AL304" s="14"/>
      <c r="AM304" s="14"/>
      <c r="AN304" s="28"/>
      <c r="AO304" s="28"/>
      <c r="AP304" s="28"/>
      <c r="AQ304" s="28"/>
      <c r="BR304" s="14">
        <f t="shared" si="91"/>
      </c>
    </row>
    <row r="305" spans="1:70" ht="15.75">
      <c r="A305" s="39"/>
      <c r="B305" s="37"/>
      <c r="C305" s="30"/>
      <c r="D305" s="14"/>
      <c r="E305" s="77"/>
      <c r="F305" s="28"/>
      <c r="G305" s="197"/>
      <c r="H305" s="198"/>
      <c r="I305" s="35"/>
      <c r="J305" s="198"/>
      <c r="K305" s="14"/>
      <c r="L305" s="199"/>
      <c r="M305" s="199"/>
      <c r="N305" s="199"/>
      <c r="O305" s="199"/>
      <c r="P305" s="199"/>
      <c r="Q305" s="199"/>
      <c r="R305" s="199"/>
      <c r="S305" s="199"/>
      <c r="T305" s="199"/>
      <c r="U305" s="199"/>
      <c r="V305" s="199"/>
      <c r="W305" s="199"/>
      <c r="X305" s="199"/>
      <c r="Y305" s="199"/>
      <c r="Z305" s="199"/>
      <c r="AA305" s="199"/>
      <c r="AB305" s="199"/>
      <c r="AC305" s="199"/>
      <c r="AD305" s="199"/>
      <c r="AE305" s="199"/>
      <c r="AF305" s="199"/>
      <c r="AG305" s="199"/>
      <c r="AH305" s="199"/>
      <c r="AI305" s="199"/>
      <c r="AJ305" s="14"/>
      <c r="AK305" s="14"/>
      <c r="AL305" s="14"/>
      <c r="AM305" s="14"/>
      <c r="AN305" s="28"/>
      <c r="AO305" s="28"/>
      <c r="AP305" s="28"/>
      <c r="AQ305" s="28"/>
      <c r="BR305" s="14">
        <f t="shared" si="91"/>
      </c>
    </row>
    <row r="306" spans="1:70" ht="15.75">
      <c r="A306" s="39"/>
      <c r="B306" s="37"/>
      <c r="C306" s="30"/>
      <c r="D306" s="14"/>
      <c r="E306" s="77"/>
      <c r="F306" s="28"/>
      <c r="G306" s="197"/>
      <c r="H306" s="198"/>
      <c r="I306" s="35"/>
      <c r="J306" s="198"/>
      <c r="K306" s="14"/>
      <c r="L306" s="199"/>
      <c r="M306" s="199"/>
      <c r="N306" s="199"/>
      <c r="O306" s="199"/>
      <c r="P306" s="199"/>
      <c r="Q306" s="199"/>
      <c r="R306" s="199"/>
      <c r="S306" s="199"/>
      <c r="T306" s="199"/>
      <c r="U306" s="199"/>
      <c r="V306" s="199"/>
      <c r="W306" s="199"/>
      <c r="X306" s="199"/>
      <c r="Y306" s="199"/>
      <c r="Z306" s="199"/>
      <c r="AA306" s="199"/>
      <c r="AB306" s="199"/>
      <c r="AC306" s="199"/>
      <c r="AD306" s="199"/>
      <c r="AE306" s="199"/>
      <c r="AF306" s="199"/>
      <c r="AG306" s="199"/>
      <c r="AH306" s="199"/>
      <c r="AI306" s="199"/>
      <c r="AJ306" s="14"/>
      <c r="AK306" s="14"/>
      <c r="AL306" s="14"/>
      <c r="AM306" s="14"/>
      <c r="AN306" s="14"/>
      <c r="AO306" s="28"/>
      <c r="AP306" s="28"/>
      <c r="AQ306" s="28"/>
      <c r="BR306" s="14">
        <f t="shared" si="91"/>
      </c>
    </row>
    <row r="307" spans="1:70" ht="15.75">
      <c r="A307" s="39"/>
      <c r="B307" s="37"/>
      <c r="C307" s="30"/>
      <c r="D307" s="14"/>
      <c r="E307" s="77"/>
      <c r="F307" s="28"/>
      <c r="G307" s="197"/>
      <c r="H307" s="198"/>
      <c r="I307" s="35"/>
      <c r="J307" s="198"/>
      <c r="K307" s="14"/>
      <c r="L307" s="199"/>
      <c r="M307" s="199"/>
      <c r="N307" s="199"/>
      <c r="O307" s="199"/>
      <c r="P307" s="199"/>
      <c r="Q307" s="199"/>
      <c r="R307" s="199"/>
      <c r="S307" s="199"/>
      <c r="T307" s="199"/>
      <c r="U307" s="199"/>
      <c r="V307" s="199"/>
      <c r="W307" s="199"/>
      <c r="X307" s="199"/>
      <c r="Y307" s="199"/>
      <c r="Z307" s="199"/>
      <c r="AA307" s="199"/>
      <c r="AB307" s="199"/>
      <c r="AC307" s="199"/>
      <c r="AD307" s="199"/>
      <c r="AE307" s="199"/>
      <c r="AF307" s="199"/>
      <c r="AG307" s="199"/>
      <c r="AH307" s="199"/>
      <c r="AI307" s="199"/>
      <c r="AJ307" s="14"/>
      <c r="AK307" s="14"/>
      <c r="AL307" s="14"/>
      <c r="AM307" s="14"/>
      <c r="AN307" s="14"/>
      <c r="AO307" s="28"/>
      <c r="AP307" s="28"/>
      <c r="AQ307" s="28"/>
      <c r="BR307" s="14">
        <f t="shared" si="91"/>
      </c>
    </row>
    <row r="308" spans="1:70" ht="15.75">
      <c r="A308" s="39"/>
      <c r="B308" s="37"/>
      <c r="C308" s="30"/>
      <c r="D308" s="14"/>
      <c r="E308" s="77"/>
      <c r="F308" s="28"/>
      <c r="G308" s="197"/>
      <c r="H308" s="198"/>
      <c r="I308" s="35"/>
      <c r="J308" s="198"/>
      <c r="K308" s="14"/>
      <c r="L308" s="199"/>
      <c r="M308" s="199"/>
      <c r="N308" s="199"/>
      <c r="O308" s="199"/>
      <c r="P308" s="199"/>
      <c r="Q308" s="199"/>
      <c r="R308" s="199"/>
      <c r="S308" s="199"/>
      <c r="T308" s="199"/>
      <c r="U308" s="199"/>
      <c r="V308" s="199"/>
      <c r="W308" s="199"/>
      <c r="X308" s="199"/>
      <c r="Y308" s="199"/>
      <c r="Z308" s="199"/>
      <c r="AA308" s="199"/>
      <c r="AB308" s="199"/>
      <c r="AC308" s="199"/>
      <c r="AD308" s="199"/>
      <c r="AE308" s="199"/>
      <c r="AF308" s="199"/>
      <c r="AG308" s="199"/>
      <c r="AH308" s="199"/>
      <c r="AI308" s="199"/>
      <c r="AJ308" s="14"/>
      <c r="AK308" s="14"/>
      <c r="AL308" s="14"/>
      <c r="AM308" s="14"/>
      <c r="AN308" s="14"/>
      <c r="AO308" s="28"/>
      <c r="AP308" s="28"/>
      <c r="AQ308" s="28"/>
      <c r="BR308" s="14">
        <f t="shared" si="91"/>
      </c>
    </row>
    <row r="309" spans="1:70" ht="15.75">
      <c r="A309" s="39"/>
      <c r="B309" s="37"/>
      <c r="C309" s="30"/>
      <c r="D309" s="14"/>
      <c r="E309" s="77"/>
      <c r="F309" s="28"/>
      <c r="G309" s="197"/>
      <c r="H309" s="198"/>
      <c r="I309" s="35"/>
      <c r="J309" s="198"/>
      <c r="K309" s="14"/>
      <c r="L309" s="199"/>
      <c r="M309" s="199"/>
      <c r="N309" s="199"/>
      <c r="O309" s="199"/>
      <c r="P309" s="199"/>
      <c r="Q309" s="199"/>
      <c r="R309" s="199"/>
      <c r="S309" s="199"/>
      <c r="T309" s="199"/>
      <c r="U309" s="199"/>
      <c r="V309" s="199"/>
      <c r="W309" s="199"/>
      <c r="X309" s="199"/>
      <c r="Y309" s="199"/>
      <c r="Z309" s="199"/>
      <c r="AA309" s="199"/>
      <c r="AB309" s="199"/>
      <c r="AC309" s="199"/>
      <c r="AD309" s="199"/>
      <c r="AE309" s="199"/>
      <c r="AF309" s="199"/>
      <c r="AG309" s="199"/>
      <c r="AH309" s="199"/>
      <c r="AI309" s="199"/>
      <c r="AJ309" s="14"/>
      <c r="AK309" s="14"/>
      <c r="AL309" s="14"/>
      <c r="AM309" s="14"/>
      <c r="AN309" s="14"/>
      <c r="AO309" s="28"/>
      <c r="AP309" s="28"/>
      <c r="AQ309" s="28"/>
      <c r="BR309" s="14">
        <f t="shared" si="91"/>
      </c>
    </row>
    <row r="310" spans="1:70" ht="15.75">
      <c r="A310" s="39"/>
      <c r="B310" s="37"/>
      <c r="C310" s="30"/>
      <c r="D310" s="14"/>
      <c r="E310" s="77"/>
      <c r="F310" s="28"/>
      <c r="G310" s="197"/>
      <c r="H310" s="198"/>
      <c r="I310" s="35"/>
      <c r="J310" s="198"/>
      <c r="K310" s="14"/>
      <c r="L310" s="199"/>
      <c r="M310" s="199"/>
      <c r="N310" s="199"/>
      <c r="O310" s="199"/>
      <c r="P310" s="199"/>
      <c r="Q310" s="199"/>
      <c r="R310" s="199"/>
      <c r="S310" s="199"/>
      <c r="T310" s="199"/>
      <c r="U310" s="199"/>
      <c r="V310" s="199"/>
      <c r="W310" s="199"/>
      <c r="X310" s="199"/>
      <c r="Y310" s="199"/>
      <c r="Z310" s="199"/>
      <c r="AA310" s="199"/>
      <c r="AB310" s="199"/>
      <c r="AC310" s="199"/>
      <c r="AD310" s="199"/>
      <c r="AE310" s="199"/>
      <c r="AF310" s="199"/>
      <c r="AG310" s="199"/>
      <c r="AH310" s="199"/>
      <c r="AI310" s="199"/>
      <c r="AJ310" s="14"/>
      <c r="AK310" s="14"/>
      <c r="AL310" s="14"/>
      <c r="AM310" s="14"/>
      <c r="AN310" s="14"/>
      <c r="AO310" s="28"/>
      <c r="AP310" s="28"/>
      <c r="AQ310" s="28"/>
      <c r="BR310" s="14">
        <f t="shared" si="91"/>
      </c>
    </row>
    <row r="311" spans="41:70" ht="15.75">
      <c r="AO311" s="28"/>
      <c r="AP311" s="28"/>
      <c r="AQ311" s="28"/>
      <c r="BR311" s="14">
        <f t="shared" si="91"/>
      </c>
    </row>
    <row r="312" spans="41:70" ht="15.75">
      <c r="AO312" s="28"/>
      <c r="AP312" s="28"/>
      <c r="AQ312" s="28"/>
      <c r="BR312" s="14">
        <f t="shared" si="91"/>
      </c>
    </row>
    <row r="313" spans="41:70" ht="15.75">
      <c r="AO313" s="28"/>
      <c r="AP313" s="28"/>
      <c r="AQ313" s="28"/>
      <c r="BR313" s="14">
        <f t="shared" si="91"/>
      </c>
    </row>
    <row r="314" spans="41:70" ht="15.75">
      <c r="AO314" s="28"/>
      <c r="AP314" s="28"/>
      <c r="AQ314" s="28"/>
      <c r="BR314" s="14">
        <f t="shared" si="91"/>
      </c>
    </row>
    <row r="315" spans="41:70" ht="15.75">
      <c r="AO315" s="28"/>
      <c r="AP315" s="28"/>
      <c r="AQ315" s="28"/>
      <c r="BR315" s="14">
        <f t="shared" si="91"/>
      </c>
    </row>
    <row r="316" spans="41:70" ht="15.75">
      <c r="AO316" s="14"/>
      <c r="AP316" s="14"/>
      <c r="AQ316" s="14"/>
      <c r="BR316" s="14">
        <f t="shared" si="91"/>
      </c>
    </row>
    <row r="317" spans="41:70" ht="15.75">
      <c r="AO317" s="14"/>
      <c r="AP317" s="14"/>
      <c r="AQ317" s="14"/>
      <c r="BR317" s="14">
        <f t="shared" si="91"/>
      </c>
    </row>
    <row r="318" spans="41:70" ht="15.75">
      <c r="AO318" s="14"/>
      <c r="AP318" s="14"/>
      <c r="AQ318" s="14"/>
      <c r="BR318" s="14">
        <f t="shared" si="91"/>
      </c>
    </row>
    <row r="319" spans="41:43" ht="15.75">
      <c r="AO319" s="14"/>
      <c r="AP319" s="14"/>
      <c r="AQ319" s="14"/>
    </row>
    <row r="320" spans="41:43" ht="15.75">
      <c r="AO320" s="14"/>
      <c r="AP320" s="14"/>
      <c r="AQ320" s="14"/>
    </row>
  </sheetData>
  <sheetProtection/>
  <mergeCells count="20">
    <mergeCell ref="L84:AM84"/>
    <mergeCell ref="B85:C85"/>
    <mergeCell ref="H85:J85"/>
    <mergeCell ref="L85:AM85"/>
    <mergeCell ref="L3:AM3"/>
    <mergeCell ref="B4:C4"/>
    <mergeCell ref="H4:J4"/>
    <mergeCell ref="L4:AM4"/>
    <mergeCell ref="L240:AM240"/>
    <mergeCell ref="B241:C241"/>
    <mergeCell ref="H241:J241"/>
    <mergeCell ref="L241:AM241"/>
    <mergeCell ref="L143:AM143"/>
    <mergeCell ref="B144:C144"/>
    <mergeCell ref="H144:J144"/>
    <mergeCell ref="L144:AM144"/>
    <mergeCell ref="L208:AM208"/>
    <mergeCell ref="B209:C209"/>
    <mergeCell ref="H209:J209"/>
    <mergeCell ref="L209:AM209"/>
  </mergeCells>
  <conditionalFormatting sqref="D6:D77">
    <cfRule type="duplicateValues" priority="2" dxfId="2">
      <formula>AND(COUNTIF($D$6:$D$77,D6)&gt;1,NOT(ISBLANK(D6)))</formula>
    </cfRule>
  </conditionalFormatting>
  <conditionalFormatting sqref="D120">
    <cfRule type="duplicateValues" priority="1" dxfId="2">
      <formula>AND(COUNTIF($D$120:$D$120,D120)&gt;1,NOT(ISBLANK(D120)))</formula>
    </cfRule>
  </conditionalFormatting>
  <printOptions/>
  <pageMargins left="0.2362204724409449" right="0.2362204724409449" top="0.2755905511811024" bottom="0.7480314960629921" header="0.15748031496062992" footer="0.31496062992125984"/>
  <pageSetup horizontalDpi="300" verticalDpi="300" orientation="portrait" paperSize="9" scale="74" r:id="rId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2011-01-06T11:31:35Z</dcterms:modified>
  <cp:category/>
  <cp:version/>
  <cp:contentType/>
  <cp:contentStatus/>
</cp:coreProperties>
</file>